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09_Ch9REVISED_PredictiveDataMining_JeffO\Solutions\ExcelSolutionsKeys\"/>
    </mc:Choice>
  </mc:AlternateContent>
  <bookViews>
    <workbookView xWindow="0" yWindow="0" windowWidth="28800" windowHeight="12435"/>
  </bookViews>
  <sheets>
    <sheet name="LastYear" sheetId="1" r:id="rId1"/>
    <sheet name="Data_Partition" sheetId="15" r:id="rId2"/>
    <sheet name="LR_Output2" sheetId="27" r:id="rId3"/>
    <sheet name="LR_TrainingLiftChart2" sheetId="26" r:id="rId4"/>
    <sheet name="LR_ValidationLiftChart2" sheetId="25" r:id="rId5"/>
    <sheet name="LR_Stored2" sheetId="24" r:id="rId6"/>
    <sheet name="LR_Output1" sheetId="23" r:id="rId7"/>
    <sheet name="LR_TrainingLiftChart1" sheetId="22" r:id="rId8"/>
    <sheet name="LR_ValidationLiftChart1" sheetId="21" r:id="rId9"/>
    <sheet name="LR_Stored1" sheetId="20" r:id="rId10"/>
    <sheet name="LR_Output" sheetId="19" r:id="rId11"/>
    <sheet name="LR_TrainingLiftChart" sheetId="18" r:id="rId12"/>
    <sheet name="LR_ValidationLiftChart" sheetId="17" r:id="rId13"/>
    <sheet name="LR_Stored" sheetId="16" r:id="rId14"/>
  </sheets>
  <definedNames>
    <definedName name="solver_typ" localSheetId="0" hidden="1">2</definedName>
    <definedName name="solver_ver" localSheetId="0" hidden="1">15</definedName>
    <definedName name="solveri_ISpPars_B102" localSheetId="0" hidden="1">"RiskSolver.UI.Charts.InputDlgPars:-1000001;1;1;22;23;56;48;0;90;90;0;0;0;0;1;"</definedName>
    <definedName name="xlm_603_1" localSheetId="1">"'{""wkbk"":""Dana.xlsx"",""wksheet"":""Data_Partition"",""data_range"":"""",""has_header"":true,""cat_cols"":[],""firstRow"":-1,""rows"":500,""train_rows"":300,""validation_rows"":200,""test_rows"":0,""trainingDataRange"":""$B$21:$D$320"",""validationDataRange"":""$B$321:$D$520"",""allData"</definedName>
    <definedName name="xlm_603_1" localSheetId="0">"'{""wkbk"":""Dana.xlsx"",""wksheet"":""LastYear"",""data_range"":""$A$1:$D$101"",""has_header"":true,""cat_cols"":[],""firstRow"":1,""rows"":100,""train_rows"":100,""validation_rows"":0,""test_rows"":0,""isPartitionSheet"":false,""numOutputClasses"":2,""useSuccessClass"":true,""successCl"</definedName>
    <definedName name="xlm_603_2" localSheetId="1">"'Range"":""$B$20:$D$520"",""isPartitionSheet"":true,""numOutputClasses"":2,""useSuccessClass"":true,""successClass"":""1"",""successCutoffProb"":0.5,""partitionData"":false,""newDataDatabase"":false,""newDataWorksheet"":false,""forceConstTermToZero"":false,""setOddsConfidenceLev"</definedName>
    <definedName name="xlm_603_2" localSheetId="0">"'ass"":""1"",""successCutoffProb"":0.5,""partitionData"":false,""newDataDatabase"":false,""newDataWorksheet"":false,""varSelectionOnly"":false,""forceConstTermToZero"":false,""setOddsConfidenceLevel"":false,""maxNumIterations"":50,""initialMarquardtFactor"":1,""performCollinea"</definedName>
    <definedName name="xlm_603_3" localSheetId="1">"'el"":false,""maxNumIterations"":50,""initialMarquardtFactor"":1,""performCollinearityDiags"":false,""perfBestSubsetSel"":false,""outputTrainDataCovarMatrixOfCoeffs"":false,""outputTrainDataResiduals"":false,""trainDetailRpt"":false,""trainSummaryRpt"":true,""trainLiftChar"</definedName>
    <definedName name="xlm_603_3" localSheetId="0">"'rityDiags"":false,""perfBestSubsetSel"":false,""outputTrainDataCovarMatrixOfCoeffs"":false,""outputTrainDataResiduals"":false,""trainDetailRpt"":false,""trainSummaryRpt"":true,""trainLiftChart"":true,""trainROCCurve"":true,""validationDetailRpt"":false,""validationSummary"</definedName>
    <definedName name="xlm_603_4" localSheetId="1">"'t"":true,""trainROCCurve"":true,""validationDetailRpt"":false,""validationSummaryRpt"":true,""validationLiftChart"":true,""validROCCurve"":true,""testDetailRpt"":false,""testSummaryRpt"":false,""testLiftChart"":false,""testROCCurve"":false}"</definedName>
    <definedName name="xlm_603_4" localSheetId="0">"'Rpt"":false,""validationLiftChart"":false,""validROCCurve"":false,""testDetailRpt"":false,""testSummaryRpt"":false,""testLiftChart"":false,""testROCCurve"":false}"</definedName>
    <definedName name="xlm_90_1" localSheetId="0">"'{""wkbk"":""Dana.xlsx"",""wksheet"":""LastYear"",""data_range"":""$A$1:$D$501"",""has_header"":true,""input_cols"":[{""varName"":""GPA""},{""varName"":""Seminar""},{""varName"":""Dropped""}],""cat_cols"":[],""firstRow"":1,""rows"":500,""isPartitionSheet"":false,""usePartitionVar"":false,""par"</definedName>
    <definedName name="xlm_90_2" localSheetId="0">"'titionVar"":null,""useRandomRows"":true,""partitionCode"":0,""setSeed"":true,""seedValue"":12345,""trainPct"":60,""validationPct"":40,""testPct"":0}"</definedName>
    <definedName name="xlm_clnc_1" localSheetId="1">"'{""input_cols"":[{""varName"":""Seminar""}],""output_var"":{""varName"":""Dropped""}}"</definedName>
    <definedName name="xlm_clnc_1" localSheetId="0">"'{""input_cols"":[{""varName"":""GPA""}],""output_var"":{""varName"":""Return""}}"</definedName>
    <definedName name="XLMFullModelDefinition" localSheetId="13" hidden="1">"A2:G12"</definedName>
    <definedName name="XLMFullModelDefinition" localSheetId="9" hidden="1">"A2:F12"</definedName>
    <definedName name="XLMFullModelDefinition" localSheetId="5" hidden="1">"A2:F12"</definedName>
    <definedName name="XLMModelDefinition" localSheetId="13" hidden="1">"A2:B12"</definedName>
    <definedName name="XLMModelDefinition" localSheetId="9" hidden="1">"A2:B12"</definedName>
    <definedName name="XLMModelDefinition" localSheetId="5" hidden="1">"A2:B12"</definedName>
    <definedName name="XLMModelInputVars" localSheetId="13" hidden="1">"E5:F5"</definedName>
    <definedName name="XLMModelInputVars" localSheetId="9" hidden="1">"E5:E5"</definedName>
    <definedName name="XLMModelInputVars" localSheetId="5" hidden="1">"E5:E5"</definedName>
    <definedName name="XLMModelInputVarsRole" localSheetId="13" hidden="1">"E7:G7"</definedName>
    <definedName name="XLMModelInputVarsRole" localSheetId="9" hidden="1">"E7:F7"</definedName>
    <definedName name="XLMModelInputVarsRole" localSheetId="5" hidden="1">"E7:F7"</definedName>
    <definedName name="XLMModelInputVarsType" localSheetId="13" hidden="1">"E8:G8"</definedName>
    <definedName name="XLMModelInputVarsType" localSheetId="9" hidden="1">"E8:F8"</definedName>
    <definedName name="XLMModelInputVarsType" localSheetId="5" hidden="1">"E8:F8"</definedName>
    <definedName name="XLMModelTypeId" localSheetId="13" hidden="1">9</definedName>
    <definedName name="XLMModelTypeId" localSheetId="9" hidden="1">9</definedName>
    <definedName name="XLMModelTypeId" localSheetId="5" hidden="1">9</definedName>
    <definedName name="XLMPartitionAllData" localSheetId="1" hidden="1">"$B$20:$D$520"</definedName>
    <definedName name="XLMPartitionTrainingData" localSheetId="1" hidden="1">"$B$21:$D$320"</definedName>
    <definedName name="XLMPartitionType" localSheetId="1" hidden="1">0</definedName>
    <definedName name="XLMPartitionValidationData" localSheetId="1" hidden="1">"$B$321:$D$520"</definedName>
    <definedName name="XLMPartitionVariableNames" localSheetId="1" hidden="1">"$E$11:$G$11"</definedName>
  </definedNames>
  <calcPr calcId="162913"/>
</workbook>
</file>

<file path=xl/calcChain.xml><?xml version="1.0" encoding="utf-8"?>
<calcChain xmlns="http://schemas.openxmlformats.org/spreadsheetml/2006/main">
  <c r="L3" i="1" l="1"/>
  <c r="L2" i="1"/>
  <c r="BA300" i="27"/>
  <c r="BA299" i="27"/>
  <c r="BA298" i="27"/>
  <c r="BA297" i="27"/>
  <c r="BA296" i="27"/>
  <c r="BA295" i="27"/>
  <c r="BA294" i="27"/>
  <c r="BA293" i="27"/>
  <c r="BA292" i="27"/>
  <c r="BA291" i="27"/>
  <c r="BA290" i="27"/>
  <c r="BB290" i="27" s="1"/>
  <c r="BA289" i="27"/>
  <c r="BA288" i="27"/>
  <c r="BA287" i="27"/>
  <c r="BA286" i="27"/>
  <c r="BA285" i="27"/>
  <c r="BA284" i="27"/>
  <c r="BA283" i="27"/>
  <c r="BA282" i="27"/>
  <c r="BA281" i="27"/>
  <c r="BA280" i="27"/>
  <c r="BA279" i="27"/>
  <c r="BA278" i="27"/>
  <c r="BA277" i="27"/>
  <c r="BA276" i="27"/>
  <c r="BA275" i="27"/>
  <c r="BA274" i="27"/>
  <c r="BA273" i="27"/>
  <c r="BA272" i="27"/>
  <c r="BA271" i="27"/>
  <c r="BA270" i="27"/>
  <c r="BB270" i="27" s="1"/>
  <c r="BA269" i="27"/>
  <c r="BA268" i="27"/>
  <c r="BA267" i="27"/>
  <c r="BA266" i="27"/>
  <c r="BA265" i="27"/>
  <c r="BA264" i="27"/>
  <c r="BA263" i="27"/>
  <c r="BA262" i="27"/>
  <c r="BA261" i="27"/>
  <c r="BA260" i="27"/>
  <c r="BA259" i="27"/>
  <c r="BA258" i="27"/>
  <c r="BA257" i="27"/>
  <c r="BA256" i="27"/>
  <c r="BA255" i="27"/>
  <c r="BA254" i="27"/>
  <c r="BA253" i="27"/>
  <c r="BA252" i="27"/>
  <c r="BA251" i="27"/>
  <c r="BA250" i="27"/>
  <c r="BA249" i="27"/>
  <c r="BA248" i="27"/>
  <c r="BA247" i="27"/>
  <c r="BA246" i="27"/>
  <c r="BA245" i="27"/>
  <c r="BA244" i="27"/>
  <c r="BA243" i="27"/>
  <c r="BA242" i="27"/>
  <c r="BA241" i="27"/>
  <c r="BA240" i="27"/>
  <c r="BA239" i="27"/>
  <c r="BA238" i="27"/>
  <c r="BB238" i="27" s="1"/>
  <c r="BA237" i="27"/>
  <c r="BA236" i="27"/>
  <c r="BA235" i="27"/>
  <c r="BA234" i="27"/>
  <c r="BA233" i="27"/>
  <c r="BA232" i="27"/>
  <c r="BA231" i="27"/>
  <c r="BA230" i="27"/>
  <c r="BA229" i="27"/>
  <c r="BA228" i="27"/>
  <c r="BA227" i="27"/>
  <c r="BA226" i="27"/>
  <c r="BA225" i="27"/>
  <c r="BA224" i="27"/>
  <c r="BA223" i="27"/>
  <c r="BA222" i="27"/>
  <c r="BA221" i="27"/>
  <c r="BA220" i="27"/>
  <c r="BA219" i="27"/>
  <c r="BA218" i="27"/>
  <c r="BA217" i="27"/>
  <c r="BA216" i="27"/>
  <c r="BA215" i="27"/>
  <c r="BA214" i="27"/>
  <c r="BA213" i="27"/>
  <c r="BA212" i="27"/>
  <c r="BA211" i="27"/>
  <c r="BA210" i="27"/>
  <c r="BA209" i="27"/>
  <c r="BA208" i="27"/>
  <c r="BA207" i="27"/>
  <c r="BA206" i="27"/>
  <c r="BB206" i="27" s="1"/>
  <c r="BA205" i="27"/>
  <c r="BA204" i="27"/>
  <c r="BA203" i="27"/>
  <c r="BA202" i="27"/>
  <c r="BA201" i="27"/>
  <c r="BF200" i="27"/>
  <c r="BA200" i="27"/>
  <c r="BF199" i="27"/>
  <c r="BA199" i="27"/>
  <c r="BF198" i="27"/>
  <c r="BA198" i="27"/>
  <c r="BF197" i="27"/>
  <c r="BA197" i="27"/>
  <c r="BF196" i="27"/>
  <c r="BA196" i="27"/>
  <c r="BF195" i="27"/>
  <c r="BA195" i="27"/>
  <c r="BF194" i="27"/>
  <c r="BA194" i="27"/>
  <c r="BF193" i="27"/>
  <c r="BA193" i="27"/>
  <c r="BF192" i="27"/>
  <c r="BA192" i="27"/>
  <c r="BF191" i="27"/>
  <c r="BA191" i="27"/>
  <c r="BF190" i="27"/>
  <c r="BA190" i="27"/>
  <c r="BF189" i="27"/>
  <c r="BA189" i="27"/>
  <c r="BF188" i="27"/>
  <c r="BA188" i="27"/>
  <c r="BF187" i="27"/>
  <c r="BG187" i="27" s="1"/>
  <c r="BA187" i="27"/>
  <c r="BF186" i="27"/>
  <c r="BA186" i="27"/>
  <c r="BF185" i="27"/>
  <c r="BA185" i="27"/>
  <c r="BF184" i="27"/>
  <c r="BA184" i="27"/>
  <c r="BF183" i="27"/>
  <c r="BA183" i="27"/>
  <c r="BF182" i="27"/>
  <c r="BA182" i="27"/>
  <c r="BF181" i="27"/>
  <c r="BA181" i="27"/>
  <c r="BF180" i="27"/>
  <c r="BA180" i="27"/>
  <c r="BF179" i="27"/>
  <c r="BA179" i="27"/>
  <c r="BF178" i="27"/>
  <c r="BA178" i="27"/>
  <c r="BF177" i="27"/>
  <c r="BA177" i="27"/>
  <c r="BF176" i="27"/>
  <c r="BA176" i="27"/>
  <c r="BF175" i="27"/>
  <c r="BA175" i="27"/>
  <c r="BF174" i="27"/>
  <c r="BA174" i="27"/>
  <c r="BF173" i="27"/>
  <c r="BA173" i="27"/>
  <c r="BF172" i="27"/>
  <c r="BA172" i="27"/>
  <c r="BF171" i="27"/>
  <c r="BG171" i="27" s="1"/>
  <c r="BA171" i="27"/>
  <c r="BF170" i="27"/>
  <c r="BA170" i="27"/>
  <c r="BF169" i="27"/>
  <c r="BA169" i="27"/>
  <c r="BF168" i="27"/>
  <c r="BA168" i="27"/>
  <c r="BF167" i="27"/>
  <c r="BA167" i="27"/>
  <c r="BF166" i="27"/>
  <c r="BA166" i="27"/>
  <c r="BF165" i="27"/>
  <c r="BA165" i="27"/>
  <c r="BF164" i="27"/>
  <c r="BA164" i="27"/>
  <c r="BF163" i="27"/>
  <c r="BA163" i="27"/>
  <c r="BF162" i="27"/>
  <c r="BA162" i="27"/>
  <c r="BF161" i="27"/>
  <c r="BA161" i="27"/>
  <c r="BF160" i="27"/>
  <c r="BA160" i="27"/>
  <c r="BF159" i="27"/>
  <c r="BA159" i="27"/>
  <c r="BF158" i="27"/>
  <c r="BA158" i="27"/>
  <c r="BF157" i="27"/>
  <c r="BA157" i="27"/>
  <c r="BF156" i="27"/>
  <c r="BA156" i="27"/>
  <c r="BF155" i="27"/>
  <c r="BG155" i="27" s="1"/>
  <c r="BA155" i="27"/>
  <c r="BF154" i="27"/>
  <c r="BA154" i="27"/>
  <c r="BF153" i="27"/>
  <c r="BA153" i="27"/>
  <c r="BF152" i="27"/>
  <c r="BA152" i="27"/>
  <c r="BF151" i="27"/>
  <c r="BA151" i="27"/>
  <c r="BF150" i="27"/>
  <c r="BA150" i="27"/>
  <c r="BF149" i="27"/>
  <c r="BA149" i="27"/>
  <c r="BF148" i="27"/>
  <c r="BA148" i="27"/>
  <c r="BF147" i="27"/>
  <c r="BA147" i="27"/>
  <c r="BF146" i="27"/>
  <c r="BA146" i="27"/>
  <c r="BF145" i="27"/>
  <c r="BA145" i="27"/>
  <c r="BF144" i="27"/>
  <c r="BA144" i="27"/>
  <c r="BF143" i="27"/>
  <c r="BA143" i="27"/>
  <c r="BF142" i="27"/>
  <c r="BA142" i="27"/>
  <c r="BF141" i="27"/>
  <c r="BA141" i="27"/>
  <c r="BF140" i="27"/>
  <c r="BA140" i="27"/>
  <c r="BF139" i="27"/>
  <c r="BG139" i="27" s="1"/>
  <c r="BA139" i="27"/>
  <c r="BF138" i="27"/>
  <c r="BA138" i="27"/>
  <c r="BF137" i="27"/>
  <c r="BA137" i="27"/>
  <c r="BF136" i="27"/>
  <c r="BA136" i="27"/>
  <c r="BF135" i="27"/>
  <c r="BA135" i="27"/>
  <c r="BF134" i="27"/>
  <c r="BA134" i="27"/>
  <c r="BF133" i="27"/>
  <c r="BA133" i="27"/>
  <c r="BF132" i="27"/>
  <c r="BA132" i="27"/>
  <c r="BF131" i="27"/>
  <c r="BA131" i="27"/>
  <c r="BF130" i="27"/>
  <c r="BA130" i="27"/>
  <c r="BF129" i="27"/>
  <c r="BA129" i="27"/>
  <c r="BF128" i="27"/>
  <c r="BA128" i="27"/>
  <c r="BF127" i="27"/>
  <c r="BA127" i="27"/>
  <c r="BF126" i="27"/>
  <c r="BA126" i="27"/>
  <c r="BF125" i="27"/>
  <c r="BA125" i="27"/>
  <c r="BF124" i="27"/>
  <c r="BA124" i="27"/>
  <c r="BF123" i="27"/>
  <c r="BG123" i="27" s="1"/>
  <c r="BA123" i="27"/>
  <c r="BF122" i="27"/>
  <c r="BA122" i="27"/>
  <c r="BF121" i="27"/>
  <c r="BA121" i="27"/>
  <c r="BF120" i="27"/>
  <c r="BA120" i="27"/>
  <c r="BF119" i="27"/>
  <c r="BA119" i="27"/>
  <c r="BF118" i="27"/>
  <c r="BA118" i="27"/>
  <c r="BF117" i="27"/>
  <c r="BA117" i="27"/>
  <c r="BF116" i="27"/>
  <c r="BA116" i="27"/>
  <c r="BF115" i="27"/>
  <c r="BA115" i="27"/>
  <c r="BF114" i="27"/>
  <c r="BA114" i="27"/>
  <c r="BF113" i="27"/>
  <c r="BA113" i="27"/>
  <c r="BF112" i="27"/>
  <c r="BA112" i="27"/>
  <c r="BF111" i="27"/>
  <c r="BA111" i="27"/>
  <c r="BF110" i="27"/>
  <c r="BA110" i="27"/>
  <c r="BF109" i="27"/>
  <c r="BA109" i="27"/>
  <c r="BF108" i="27"/>
  <c r="BA108" i="27"/>
  <c r="BF107" i="27"/>
  <c r="BG107" i="27" s="1"/>
  <c r="BA107" i="27"/>
  <c r="BF106" i="27"/>
  <c r="BA106" i="27"/>
  <c r="BF105" i="27"/>
  <c r="BA105" i="27"/>
  <c r="BF104" i="27"/>
  <c r="BA104" i="27"/>
  <c r="BF103" i="27"/>
  <c r="BA103" i="27"/>
  <c r="BF102" i="27"/>
  <c r="BA102" i="27"/>
  <c r="BF101" i="27"/>
  <c r="BA101" i="27"/>
  <c r="BF100" i="27"/>
  <c r="BA100" i="27"/>
  <c r="BF99" i="27"/>
  <c r="BG99" i="27" s="1"/>
  <c r="BA99" i="27"/>
  <c r="BF98" i="27"/>
  <c r="BA98" i="27"/>
  <c r="BF97" i="27"/>
  <c r="BA97" i="27"/>
  <c r="BF96" i="27"/>
  <c r="BA96" i="27"/>
  <c r="BF95" i="27"/>
  <c r="BG95" i="27" s="1"/>
  <c r="BA95" i="27"/>
  <c r="BF94" i="27"/>
  <c r="BA94" i="27"/>
  <c r="BF93" i="27"/>
  <c r="BA93" i="27"/>
  <c r="BF92" i="27"/>
  <c r="BA92" i="27"/>
  <c r="BF91" i="27"/>
  <c r="BG91" i="27" s="1"/>
  <c r="BA91" i="27"/>
  <c r="BF90" i="27"/>
  <c r="BA90" i="27"/>
  <c r="BF89" i="27"/>
  <c r="BA89" i="27"/>
  <c r="BF88" i="27"/>
  <c r="BA88" i="27"/>
  <c r="BF87" i="27"/>
  <c r="BG87" i="27" s="1"/>
  <c r="BA87" i="27"/>
  <c r="BF86" i="27"/>
  <c r="BA86" i="27"/>
  <c r="BF85" i="27"/>
  <c r="BA85" i="27"/>
  <c r="BF84" i="27"/>
  <c r="BA84" i="27"/>
  <c r="BF83" i="27"/>
  <c r="BG83" i="27" s="1"/>
  <c r="BA83" i="27"/>
  <c r="BF82" i="27"/>
  <c r="BA82" i="27"/>
  <c r="BF81" i="27"/>
  <c r="BA81" i="27"/>
  <c r="BF80" i="27"/>
  <c r="BA80" i="27"/>
  <c r="BF79" i="27"/>
  <c r="BA79" i="27"/>
  <c r="BF78" i="27"/>
  <c r="BA78" i="27"/>
  <c r="BF77" i="27"/>
  <c r="BA77" i="27"/>
  <c r="BF76" i="27"/>
  <c r="BA76" i="27"/>
  <c r="BB76" i="27" s="1"/>
  <c r="BF75" i="27"/>
  <c r="BA75" i="27"/>
  <c r="BF74" i="27"/>
  <c r="BA74" i="27"/>
  <c r="BF73" i="27"/>
  <c r="BA73" i="27"/>
  <c r="BF72" i="27"/>
  <c r="BA72" i="27"/>
  <c r="BF71" i="27"/>
  <c r="BA71" i="27"/>
  <c r="BF70" i="27"/>
  <c r="BG70" i="27" s="1"/>
  <c r="BA70" i="27"/>
  <c r="BF69" i="27"/>
  <c r="BA69" i="27"/>
  <c r="BF68" i="27"/>
  <c r="BA68" i="27"/>
  <c r="BB68" i="27" s="1"/>
  <c r="BF67" i="27"/>
  <c r="BA67" i="27"/>
  <c r="BF66" i="27"/>
  <c r="BA66" i="27"/>
  <c r="BF65" i="27"/>
  <c r="BA65" i="27"/>
  <c r="BF64" i="27"/>
  <c r="BA64" i="27"/>
  <c r="BF63" i="27"/>
  <c r="BA63" i="27"/>
  <c r="BB63" i="27" s="1"/>
  <c r="BF62" i="27"/>
  <c r="BA62" i="27"/>
  <c r="BF61" i="27"/>
  <c r="BA61" i="27"/>
  <c r="BB61" i="27" s="1"/>
  <c r="BF60" i="27"/>
  <c r="BA60" i="27"/>
  <c r="BF59" i="27"/>
  <c r="BA59" i="27"/>
  <c r="BB59" i="27" s="1"/>
  <c r="BF58" i="27"/>
  <c r="BA58" i="27"/>
  <c r="BF57" i="27"/>
  <c r="BA57" i="27"/>
  <c r="BB57" i="27" s="1"/>
  <c r="BF56" i="27"/>
  <c r="BA56" i="27"/>
  <c r="BF55" i="27"/>
  <c r="BA55" i="27"/>
  <c r="BB55" i="27" s="1"/>
  <c r="BF54" i="27"/>
  <c r="BA54" i="27"/>
  <c r="BF53" i="27"/>
  <c r="BA53" i="27"/>
  <c r="BB53" i="27" s="1"/>
  <c r="BF52" i="27"/>
  <c r="BA52" i="27"/>
  <c r="BF51" i="27"/>
  <c r="BA51" i="27"/>
  <c r="BB51" i="27" s="1"/>
  <c r="BF50" i="27"/>
  <c r="BA50" i="27"/>
  <c r="BF49" i="27"/>
  <c r="BA49" i="27"/>
  <c r="BB49" i="27" s="1"/>
  <c r="BF48" i="27"/>
  <c r="BA48" i="27"/>
  <c r="BF47" i="27"/>
  <c r="BA47" i="27"/>
  <c r="BB47" i="27" s="1"/>
  <c r="BF46" i="27"/>
  <c r="BA46" i="27"/>
  <c r="BF45" i="27"/>
  <c r="BA45" i="27"/>
  <c r="BB45" i="27" s="1"/>
  <c r="BF44" i="27"/>
  <c r="BA44" i="27"/>
  <c r="BF43" i="27"/>
  <c r="BA43" i="27"/>
  <c r="BB43" i="27" s="1"/>
  <c r="BF42" i="27"/>
  <c r="BA42" i="27"/>
  <c r="BF41" i="27"/>
  <c r="BA41" i="27"/>
  <c r="BB41" i="27" s="1"/>
  <c r="BF40" i="27"/>
  <c r="BA40" i="27"/>
  <c r="BF39" i="27"/>
  <c r="BA39" i="27"/>
  <c r="BB39" i="27" s="1"/>
  <c r="BF38" i="27"/>
  <c r="BA38" i="27"/>
  <c r="BF37" i="27"/>
  <c r="BA37" i="27"/>
  <c r="BB37" i="27" s="1"/>
  <c r="BF36" i="27"/>
  <c r="BA36" i="27"/>
  <c r="BF35" i="27"/>
  <c r="BA35" i="27"/>
  <c r="BB35" i="27" s="1"/>
  <c r="BF34" i="27"/>
  <c r="BA34" i="27"/>
  <c r="BF33" i="27"/>
  <c r="BA33" i="27"/>
  <c r="BB33" i="27" s="1"/>
  <c r="BF32" i="27"/>
  <c r="BA32" i="27"/>
  <c r="BF31" i="27"/>
  <c r="BA31" i="27"/>
  <c r="BB31" i="27" s="1"/>
  <c r="BF30" i="27"/>
  <c r="BA30" i="27"/>
  <c r="BF29" i="27"/>
  <c r="BA29" i="27"/>
  <c r="BB29" i="27" s="1"/>
  <c r="BF28" i="27"/>
  <c r="BA28" i="27"/>
  <c r="BF27" i="27"/>
  <c r="BA27" i="27"/>
  <c r="BB27" i="27" s="1"/>
  <c r="BF26" i="27"/>
  <c r="BA26" i="27"/>
  <c r="BF25" i="27"/>
  <c r="BA25" i="27"/>
  <c r="BB25" i="27" s="1"/>
  <c r="BF24" i="27"/>
  <c r="BA24" i="27"/>
  <c r="BF23" i="27"/>
  <c r="BA23" i="27"/>
  <c r="BB23" i="27" s="1"/>
  <c r="BF22" i="27"/>
  <c r="BA22" i="27"/>
  <c r="BF21" i="27"/>
  <c r="BA21" i="27"/>
  <c r="BB21" i="27" s="1"/>
  <c r="BF20" i="27"/>
  <c r="BA20" i="27"/>
  <c r="BF19" i="27"/>
  <c r="BA19" i="27"/>
  <c r="BB19" i="27" s="1"/>
  <c r="BF18" i="27"/>
  <c r="BA18" i="27"/>
  <c r="BF17" i="27"/>
  <c r="BA17" i="27"/>
  <c r="BB17" i="27" s="1"/>
  <c r="BF16" i="27"/>
  <c r="BA16" i="27"/>
  <c r="BF15" i="27"/>
  <c r="BA15" i="27"/>
  <c r="BB15" i="27" s="1"/>
  <c r="BF14" i="27"/>
  <c r="BA14" i="27"/>
  <c r="BF13" i="27"/>
  <c r="BA13" i="27"/>
  <c r="BB13" i="27" s="1"/>
  <c r="BF12" i="27"/>
  <c r="BA12" i="27"/>
  <c r="BF11" i="27"/>
  <c r="BA11" i="27"/>
  <c r="BB11" i="27" s="1"/>
  <c r="BF10" i="27"/>
  <c r="BA10" i="27"/>
  <c r="BF9" i="27"/>
  <c r="BA9" i="27"/>
  <c r="BB9" i="27" s="1"/>
  <c r="BF8" i="27"/>
  <c r="BA8" i="27"/>
  <c r="BF7" i="27"/>
  <c r="BA7" i="27"/>
  <c r="BB7" i="27" s="1"/>
  <c r="BF6" i="27"/>
  <c r="BA6" i="27"/>
  <c r="BF5" i="27"/>
  <c r="BA5" i="27"/>
  <c r="BB5" i="27" s="1"/>
  <c r="BF4" i="27"/>
  <c r="BA4" i="27"/>
  <c r="BF3" i="27"/>
  <c r="BA3" i="27"/>
  <c r="BB3" i="27" s="1"/>
  <c r="BF2" i="27"/>
  <c r="BA2" i="27"/>
  <c r="BF1" i="27"/>
  <c r="BA1" i="27"/>
  <c r="BB1" i="27" s="1"/>
  <c r="AZ289" i="27"/>
  <c r="BB289" i="27" s="1"/>
  <c r="AZ290" i="27"/>
  <c r="AZ291" i="27"/>
  <c r="BB291" i="27" s="1"/>
  <c r="AZ292" i="27"/>
  <c r="BB292" i="27" s="1"/>
  <c r="AZ293" i="27"/>
  <c r="AZ294" i="27"/>
  <c r="AZ295" i="27"/>
  <c r="AZ296" i="27"/>
  <c r="AZ297" i="27"/>
  <c r="BB297" i="27" s="1"/>
  <c r="AZ298" i="27"/>
  <c r="BB298" i="27" s="1"/>
  <c r="AZ299" i="27"/>
  <c r="BB299" i="27" s="1"/>
  <c r="AZ300" i="27"/>
  <c r="BB300" i="27" s="1"/>
  <c r="AZ257" i="27"/>
  <c r="BB257" i="27" s="1"/>
  <c r="AZ258" i="27"/>
  <c r="BB258" i="27" s="1"/>
  <c r="AZ259" i="27"/>
  <c r="BB259" i="27" s="1"/>
  <c r="AZ260" i="27"/>
  <c r="BB260" i="27" s="1"/>
  <c r="AZ261" i="27"/>
  <c r="AZ262" i="27"/>
  <c r="AZ263" i="27"/>
  <c r="AZ264" i="27"/>
  <c r="AZ265" i="27"/>
  <c r="BB265" i="27" s="1"/>
  <c r="AZ266" i="27"/>
  <c r="BB266" i="27" s="1"/>
  <c r="AZ267" i="27"/>
  <c r="BB267" i="27" s="1"/>
  <c r="AZ268" i="27"/>
  <c r="BB268" i="27" s="1"/>
  <c r="AZ269" i="27"/>
  <c r="AZ270" i="27"/>
  <c r="AZ271" i="27"/>
  <c r="AZ272" i="27"/>
  <c r="AZ273" i="27"/>
  <c r="BB273" i="27" s="1"/>
  <c r="AZ274" i="27"/>
  <c r="BB274" i="27" s="1"/>
  <c r="AZ275" i="27"/>
  <c r="BB275" i="27" s="1"/>
  <c r="AZ276" i="27"/>
  <c r="BB276" i="27" s="1"/>
  <c r="AZ277" i="27"/>
  <c r="AZ278" i="27"/>
  <c r="AZ279" i="27"/>
  <c r="AZ280" i="27"/>
  <c r="AZ281" i="27"/>
  <c r="BB281" i="27" s="1"/>
  <c r="AZ282" i="27"/>
  <c r="BB282" i="27" s="1"/>
  <c r="AZ283" i="27"/>
  <c r="BB283" i="27" s="1"/>
  <c r="AZ284" i="27"/>
  <c r="BB284" i="27" s="1"/>
  <c r="AZ285" i="27"/>
  <c r="AZ286" i="27"/>
  <c r="AZ287" i="27"/>
  <c r="AZ288" i="27"/>
  <c r="AZ225" i="27"/>
  <c r="BB225" i="27" s="1"/>
  <c r="AZ226" i="27"/>
  <c r="BB226" i="27" s="1"/>
  <c r="AZ227" i="27"/>
  <c r="BB227" i="27" s="1"/>
  <c r="AZ228" i="27"/>
  <c r="BB228" i="27" s="1"/>
  <c r="AZ229" i="27"/>
  <c r="AZ230" i="27"/>
  <c r="AZ231" i="27"/>
  <c r="AZ232" i="27"/>
  <c r="AZ233" i="27"/>
  <c r="BB233" i="27" s="1"/>
  <c r="AZ234" i="27"/>
  <c r="BB234" i="27" s="1"/>
  <c r="AZ235" i="27"/>
  <c r="BB235" i="27" s="1"/>
  <c r="AZ236" i="27"/>
  <c r="BB236" i="27" s="1"/>
  <c r="AZ237" i="27"/>
  <c r="AZ238" i="27"/>
  <c r="AZ239" i="27"/>
  <c r="AZ240" i="27"/>
  <c r="AZ241" i="27"/>
  <c r="BB241" i="27" s="1"/>
  <c r="AZ242" i="27"/>
  <c r="BB242" i="27" s="1"/>
  <c r="AZ243" i="27"/>
  <c r="BB243" i="27" s="1"/>
  <c r="AZ244" i="27"/>
  <c r="BB244" i="27" s="1"/>
  <c r="AZ245" i="27"/>
  <c r="AZ246" i="27"/>
  <c r="AZ247" i="27"/>
  <c r="AZ248" i="27"/>
  <c r="AZ249" i="27"/>
  <c r="BB249" i="27" s="1"/>
  <c r="AZ250" i="27"/>
  <c r="BB250" i="27" s="1"/>
  <c r="AZ251" i="27"/>
  <c r="BB251" i="27" s="1"/>
  <c r="AZ252" i="27"/>
  <c r="BB252" i="27" s="1"/>
  <c r="AZ253" i="27"/>
  <c r="AZ254" i="27"/>
  <c r="AZ255" i="27"/>
  <c r="AZ256" i="27"/>
  <c r="AZ193" i="27"/>
  <c r="BB193" i="27" s="1"/>
  <c r="BE193" i="27"/>
  <c r="AZ194" i="27"/>
  <c r="BB194" i="27" s="1"/>
  <c r="BE194" i="27"/>
  <c r="BG194" i="27" s="1"/>
  <c r="AZ195" i="27"/>
  <c r="BE195" i="27"/>
  <c r="AZ196" i="27"/>
  <c r="BE196" i="27"/>
  <c r="AZ197" i="27"/>
  <c r="BB197" i="27" s="1"/>
  <c r="BE197" i="27"/>
  <c r="AZ198" i="27"/>
  <c r="BB198" i="27" s="1"/>
  <c r="BE198" i="27"/>
  <c r="BG198" i="27" s="1"/>
  <c r="AZ199" i="27"/>
  <c r="BE199" i="27"/>
  <c r="AZ200" i="27"/>
  <c r="BE200" i="27"/>
  <c r="AZ201" i="27"/>
  <c r="BB201" i="27" s="1"/>
  <c r="AZ202" i="27"/>
  <c r="BB202" i="27" s="1"/>
  <c r="AZ203" i="27"/>
  <c r="BB203" i="27" s="1"/>
  <c r="AZ204" i="27"/>
  <c r="BB204" i="27" s="1"/>
  <c r="AZ205" i="27"/>
  <c r="AZ206" i="27"/>
  <c r="AZ207" i="27"/>
  <c r="AZ208" i="27"/>
  <c r="AZ209" i="27"/>
  <c r="BB209" i="27" s="1"/>
  <c r="AZ210" i="27"/>
  <c r="BB210" i="27" s="1"/>
  <c r="AZ211" i="27"/>
  <c r="BB211" i="27" s="1"/>
  <c r="AZ212" i="27"/>
  <c r="BB212" i="27" s="1"/>
  <c r="AZ213" i="27"/>
  <c r="AZ214" i="27"/>
  <c r="AZ215" i="27"/>
  <c r="AZ216" i="27"/>
  <c r="AZ217" i="27"/>
  <c r="BB217" i="27" s="1"/>
  <c r="AZ218" i="27"/>
  <c r="BB218" i="27" s="1"/>
  <c r="AZ219" i="27"/>
  <c r="BB219" i="27" s="1"/>
  <c r="AZ220" i="27"/>
  <c r="BB220" i="27" s="1"/>
  <c r="AZ221" i="27"/>
  <c r="AZ222" i="27"/>
  <c r="AZ223" i="27"/>
  <c r="AZ224" i="27"/>
  <c r="AZ161" i="27"/>
  <c r="BB161" i="27" s="1"/>
  <c r="BE161" i="27"/>
  <c r="AZ162" i="27"/>
  <c r="BB162" i="27" s="1"/>
  <c r="BE162" i="27"/>
  <c r="BG162" i="27" s="1"/>
  <c r="AZ163" i="27"/>
  <c r="BE163" i="27"/>
  <c r="AZ164" i="27"/>
  <c r="BE164" i="27"/>
  <c r="AZ165" i="27"/>
  <c r="BB165" i="27" s="1"/>
  <c r="BE165" i="27"/>
  <c r="AZ166" i="27"/>
  <c r="BB166" i="27" s="1"/>
  <c r="BE166" i="27"/>
  <c r="BG166" i="27" s="1"/>
  <c r="AZ167" i="27"/>
  <c r="BE167" i="27"/>
  <c r="AZ168" i="27"/>
  <c r="BE168" i="27"/>
  <c r="AZ169" i="27"/>
  <c r="BB169" i="27" s="1"/>
  <c r="BE169" i="27"/>
  <c r="AZ170" i="27"/>
  <c r="BB170" i="27" s="1"/>
  <c r="BE170" i="27"/>
  <c r="BG170" i="27" s="1"/>
  <c r="AZ171" i="27"/>
  <c r="BE171" i="27"/>
  <c r="AZ172" i="27"/>
  <c r="BE172" i="27"/>
  <c r="AZ173" i="27"/>
  <c r="BE173" i="27"/>
  <c r="BG173" i="27" s="1"/>
  <c r="AZ174" i="27"/>
  <c r="BB174" i="27" s="1"/>
  <c r="BE174" i="27"/>
  <c r="BG174" i="27" s="1"/>
  <c r="AZ175" i="27"/>
  <c r="BE175" i="27"/>
  <c r="AZ176" i="27"/>
  <c r="BE176" i="27"/>
  <c r="AZ177" i="27"/>
  <c r="BE177" i="27"/>
  <c r="BG177" i="27" s="1"/>
  <c r="AZ178" i="27"/>
  <c r="BB178" i="27" s="1"/>
  <c r="BE178" i="27"/>
  <c r="BG178" i="27" s="1"/>
  <c r="AZ179" i="27"/>
  <c r="BE179" i="27"/>
  <c r="AZ180" i="27"/>
  <c r="BE180" i="27"/>
  <c r="AZ181" i="27"/>
  <c r="BE181" i="27"/>
  <c r="BG181" i="27" s="1"/>
  <c r="AZ182" i="27"/>
  <c r="BB182" i="27" s="1"/>
  <c r="BE182" i="27"/>
  <c r="BG182" i="27" s="1"/>
  <c r="AZ183" i="27"/>
  <c r="BE183" i="27"/>
  <c r="AZ184" i="27"/>
  <c r="BE184" i="27"/>
  <c r="AZ185" i="27"/>
  <c r="BE185" i="27"/>
  <c r="BG185" i="27" s="1"/>
  <c r="AZ186" i="27"/>
  <c r="BB186" i="27" s="1"/>
  <c r="BE186" i="27"/>
  <c r="BG186" i="27" s="1"/>
  <c r="AZ187" i="27"/>
  <c r="BE187" i="27"/>
  <c r="AZ188" i="27"/>
  <c r="BE188" i="27"/>
  <c r="AZ189" i="27"/>
  <c r="BB189" i="27" s="1"/>
  <c r="BE189" i="27"/>
  <c r="BG189" i="27" s="1"/>
  <c r="AZ190" i="27"/>
  <c r="BB190" i="27" s="1"/>
  <c r="BE190" i="27"/>
  <c r="BG190" i="27" s="1"/>
  <c r="AZ191" i="27"/>
  <c r="BE191" i="27"/>
  <c r="AZ192" i="27"/>
  <c r="BE192" i="27"/>
  <c r="AZ129" i="27"/>
  <c r="BB129" i="27" s="1"/>
  <c r="BE129" i="27"/>
  <c r="BG129" i="27" s="1"/>
  <c r="AZ130" i="27"/>
  <c r="BB130" i="27" s="1"/>
  <c r="BE130" i="27"/>
  <c r="AZ131" i="27"/>
  <c r="BE131" i="27"/>
  <c r="AZ132" i="27"/>
  <c r="BE132" i="27"/>
  <c r="AZ133" i="27"/>
  <c r="BB133" i="27" s="1"/>
  <c r="BE133" i="27"/>
  <c r="BG133" i="27" s="1"/>
  <c r="AZ134" i="27"/>
  <c r="BB134" i="27" s="1"/>
  <c r="BE134" i="27"/>
  <c r="AZ135" i="27"/>
  <c r="BE135" i="27"/>
  <c r="AZ136" i="27"/>
  <c r="BE136" i="27"/>
  <c r="AZ137" i="27"/>
  <c r="BB137" i="27" s="1"/>
  <c r="BE137" i="27"/>
  <c r="BG137" i="27" s="1"/>
  <c r="AZ138" i="27"/>
  <c r="BB138" i="27" s="1"/>
  <c r="BE138" i="27"/>
  <c r="AZ139" i="27"/>
  <c r="BE139" i="27"/>
  <c r="AZ140" i="27"/>
  <c r="BE140" i="27"/>
  <c r="AZ141" i="27"/>
  <c r="BB141" i="27" s="1"/>
  <c r="BE141" i="27"/>
  <c r="BG141" i="27" s="1"/>
  <c r="AZ142" i="27"/>
  <c r="BE142" i="27"/>
  <c r="BG142" i="27" s="1"/>
  <c r="AZ143" i="27"/>
  <c r="BE143" i="27"/>
  <c r="AZ144" i="27"/>
  <c r="BE144" i="27"/>
  <c r="AZ145" i="27"/>
  <c r="BB145" i="27" s="1"/>
  <c r="BE145" i="27"/>
  <c r="BG145" i="27" s="1"/>
  <c r="AZ146" i="27"/>
  <c r="BE146" i="27"/>
  <c r="BG146" i="27" s="1"/>
  <c r="AZ147" i="27"/>
  <c r="BE147" i="27"/>
  <c r="AZ148" i="27"/>
  <c r="BE148" i="27"/>
  <c r="AZ149" i="27"/>
  <c r="BB149" i="27" s="1"/>
  <c r="BE149" i="27"/>
  <c r="BG149" i="27" s="1"/>
  <c r="AZ150" i="27"/>
  <c r="BE150" i="27"/>
  <c r="BG150" i="27" s="1"/>
  <c r="AZ151" i="27"/>
  <c r="BE151" i="27"/>
  <c r="AZ152" i="27"/>
  <c r="BE152" i="27"/>
  <c r="AZ153" i="27"/>
  <c r="BB153" i="27" s="1"/>
  <c r="BE153" i="27"/>
  <c r="BG153" i="27" s="1"/>
  <c r="AZ154" i="27"/>
  <c r="BE154" i="27"/>
  <c r="BG154" i="27" s="1"/>
  <c r="AZ155" i="27"/>
  <c r="BE155" i="27"/>
  <c r="AZ156" i="27"/>
  <c r="BE156" i="27"/>
  <c r="AZ157" i="27"/>
  <c r="BB157" i="27" s="1"/>
  <c r="BE157" i="27"/>
  <c r="AZ158" i="27"/>
  <c r="BB158" i="27" s="1"/>
  <c r="BE158" i="27"/>
  <c r="BG158" i="27" s="1"/>
  <c r="AZ159" i="27"/>
  <c r="BE159" i="27"/>
  <c r="AZ160" i="27"/>
  <c r="BE160" i="27"/>
  <c r="AZ97" i="27"/>
  <c r="BB97" i="27" s="1"/>
  <c r="BE97" i="27"/>
  <c r="AZ98" i="27"/>
  <c r="BB98" i="27" s="1"/>
  <c r="BE98" i="27"/>
  <c r="BG98" i="27" s="1"/>
  <c r="AZ99" i="27"/>
  <c r="BE99" i="27"/>
  <c r="AZ100" i="27"/>
  <c r="BE100" i="27"/>
  <c r="AZ101" i="27"/>
  <c r="BE101" i="27"/>
  <c r="BG101" i="27" s="1"/>
  <c r="AZ102" i="27"/>
  <c r="BB102" i="27" s="1"/>
  <c r="BE102" i="27"/>
  <c r="BG102" i="27" s="1"/>
  <c r="AZ103" i="27"/>
  <c r="BE103" i="27"/>
  <c r="AZ104" i="27"/>
  <c r="BE104" i="27"/>
  <c r="AZ105" i="27"/>
  <c r="BE105" i="27"/>
  <c r="BG105" i="27" s="1"/>
  <c r="AZ106" i="27"/>
  <c r="BB106" i="27" s="1"/>
  <c r="BE106" i="27"/>
  <c r="BG106" i="27" s="1"/>
  <c r="AZ107" i="27"/>
  <c r="BE107" i="27"/>
  <c r="AZ108" i="27"/>
  <c r="BE108" i="27"/>
  <c r="AZ109" i="27"/>
  <c r="BE109" i="27"/>
  <c r="BG109" i="27" s="1"/>
  <c r="AZ110" i="27"/>
  <c r="BB110" i="27" s="1"/>
  <c r="BE110" i="27"/>
  <c r="BG110" i="27" s="1"/>
  <c r="AZ111" i="27"/>
  <c r="BE111" i="27"/>
  <c r="AZ112" i="27"/>
  <c r="BE112" i="27"/>
  <c r="AZ113" i="27"/>
  <c r="BE113" i="27"/>
  <c r="BG113" i="27" s="1"/>
  <c r="AZ114" i="27"/>
  <c r="BB114" i="27" s="1"/>
  <c r="BE114" i="27"/>
  <c r="AZ115" i="27"/>
  <c r="BE115" i="27"/>
  <c r="AZ116" i="27"/>
  <c r="BE116" i="27"/>
  <c r="AZ117" i="27"/>
  <c r="BE117" i="27"/>
  <c r="BG117" i="27" s="1"/>
  <c r="AZ118" i="27"/>
  <c r="BB118" i="27" s="1"/>
  <c r="BE118" i="27"/>
  <c r="BG118" i="27" s="1"/>
  <c r="AZ119" i="27"/>
  <c r="BE119" i="27"/>
  <c r="AZ120" i="27"/>
  <c r="BE120" i="27"/>
  <c r="AZ121" i="27"/>
  <c r="BE121" i="27"/>
  <c r="BG121" i="27" s="1"/>
  <c r="AZ122" i="27"/>
  <c r="BB122" i="27" s="1"/>
  <c r="BE122" i="27"/>
  <c r="BG122" i="27" s="1"/>
  <c r="AZ123" i="27"/>
  <c r="BE123" i="27"/>
  <c r="AZ124" i="27"/>
  <c r="BE124" i="27"/>
  <c r="AZ125" i="27"/>
  <c r="BB125" i="27" s="1"/>
  <c r="BE125" i="27"/>
  <c r="BG125" i="27" s="1"/>
  <c r="AZ126" i="27"/>
  <c r="BB126" i="27" s="1"/>
  <c r="BE126" i="27"/>
  <c r="AZ127" i="27"/>
  <c r="BE127" i="27"/>
  <c r="AZ128" i="27"/>
  <c r="BE128" i="27"/>
  <c r="AZ65" i="27"/>
  <c r="BE65" i="27"/>
  <c r="AZ66" i="27"/>
  <c r="BE66" i="27"/>
  <c r="BG66" i="27" s="1"/>
  <c r="AZ67" i="27"/>
  <c r="BE67" i="27"/>
  <c r="AZ68" i="27"/>
  <c r="BE68" i="27"/>
  <c r="AZ69" i="27"/>
  <c r="BB69" i="27" s="1"/>
  <c r="BE69" i="27"/>
  <c r="AZ70" i="27"/>
  <c r="BB70" i="27" s="1"/>
  <c r="BE70" i="27"/>
  <c r="AZ71" i="27"/>
  <c r="BE71" i="27"/>
  <c r="AZ72" i="27"/>
  <c r="BE72" i="27"/>
  <c r="AZ73" i="27"/>
  <c r="BB73" i="27" s="1"/>
  <c r="BE73" i="27"/>
  <c r="AZ74" i="27"/>
  <c r="BE74" i="27"/>
  <c r="AZ75" i="27"/>
  <c r="BE75" i="27"/>
  <c r="AZ76" i="27"/>
  <c r="BE76" i="27"/>
  <c r="AZ77" i="27"/>
  <c r="BB77" i="27" s="1"/>
  <c r="BE77" i="27"/>
  <c r="AZ78" i="27"/>
  <c r="BE78" i="27"/>
  <c r="AZ79" i="27"/>
  <c r="BE79" i="27"/>
  <c r="AZ80" i="27"/>
  <c r="BE80" i="27"/>
  <c r="AZ81" i="27"/>
  <c r="BB81" i="27" s="1"/>
  <c r="BE81" i="27"/>
  <c r="AZ82" i="27"/>
  <c r="BE82" i="27"/>
  <c r="AZ83" i="27"/>
  <c r="BE83" i="27"/>
  <c r="AZ84" i="27"/>
  <c r="BE84" i="27"/>
  <c r="AZ85" i="27"/>
  <c r="BB85" i="27" s="1"/>
  <c r="BE85" i="27"/>
  <c r="AZ86" i="27"/>
  <c r="BE86" i="27"/>
  <c r="AZ87" i="27"/>
  <c r="BE87" i="27"/>
  <c r="AZ88" i="27"/>
  <c r="BE88" i="27"/>
  <c r="AZ89" i="27"/>
  <c r="BE89" i="27"/>
  <c r="AZ90" i="27"/>
  <c r="BE90" i="27"/>
  <c r="BG90" i="27" s="1"/>
  <c r="AZ91" i="27"/>
  <c r="BE91" i="27"/>
  <c r="AZ92" i="27"/>
  <c r="BE92" i="27"/>
  <c r="AZ93" i="27"/>
  <c r="BB93" i="27" s="1"/>
  <c r="BE93" i="27"/>
  <c r="AZ94" i="27"/>
  <c r="BB94" i="27" s="1"/>
  <c r="BE94" i="27"/>
  <c r="BG94" i="27" s="1"/>
  <c r="AZ95" i="27"/>
  <c r="BE95" i="27"/>
  <c r="AZ96" i="27"/>
  <c r="BE96" i="27"/>
  <c r="AZ33" i="27"/>
  <c r="BE33" i="27"/>
  <c r="AZ34" i="27"/>
  <c r="BB34" i="27" s="1"/>
  <c r="BE34" i="27"/>
  <c r="AZ35" i="27"/>
  <c r="BE35" i="27"/>
  <c r="AZ36" i="27"/>
  <c r="BE36" i="27"/>
  <c r="AZ37" i="27"/>
  <c r="BE37" i="27"/>
  <c r="AZ38" i="27"/>
  <c r="BE38" i="27"/>
  <c r="AZ39" i="27"/>
  <c r="BE39" i="27"/>
  <c r="AZ40" i="27"/>
  <c r="BE40" i="27"/>
  <c r="AZ41" i="27"/>
  <c r="BE41" i="27"/>
  <c r="BG41" i="27" s="1"/>
  <c r="AZ42" i="27"/>
  <c r="BB42" i="27" s="1"/>
  <c r="BE42" i="27"/>
  <c r="BG42" i="27" s="1"/>
  <c r="AZ43" i="27"/>
  <c r="BE43" i="27"/>
  <c r="AZ44" i="27"/>
  <c r="BE44" i="27"/>
  <c r="AZ45" i="27"/>
  <c r="BE45" i="27"/>
  <c r="BG45" i="27" s="1"/>
  <c r="AZ46" i="27"/>
  <c r="BB46" i="27" s="1"/>
  <c r="BE46" i="27"/>
  <c r="AZ47" i="27"/>
  <c r="BE47" i="27"/>
  <c r="AZ48" i="27"/>
  <c r="BE48" i="27"/>
  <c r="AZ49" i="27"/>
  <c r="BE49" i="27"/>
  <c r="BG49" i="27" s="1"/>
  <c r="AZ50" i="27"/>
  <c r="BB50" i="27" s="1"/>
  <c r="BE50" i="27"/>
  <c r="AZ51" i="27"/>
  <c r="BE51" i="27"/>
  <c r="AZ52" i="27"/>
  <c r="BE52" i="27"/>
  <c r="AZ53" i="27"/>
  <c r="BE53" i="27"/>
  <c r="BG53" i="27" s="1"/>
  <c r="AZ54" i="27"/>
  <c r="BE54" i="27"/>
  <c r="AZ55" i="27"/>
  <c r="BE55" i="27"/>
  <c r="AZ56" i="27"/>
  <c r="BE56" i="27"/>
  <c r="AZ57" i="27"/>
  <c r="BE57" i="27"/>
  <c r="BG57" i="27" s="1"/>
  <c r="AZ58" i="27"/>
  <c r="BB58" i="27" s="1"/>
  <c r="BE58" i="27"/>
  <c r="BG58" i="27" s="1"/>
  <c r="AZ59" i="27"/>
  <c r="BE59" i="27"/>
  <c r="AZ60" i="27"/>
  <c r="BE60" i="27"/>
  <c r="AZ61" i="27"/>
  <c r="BE61" i="27"/>
  <c r="BG61" i="27" s="1"/>
  <c r="AZ62" i="27"/>
  <c r="BE62" i="27"/>
  <c r="BG62" i="27" s="1"/>
  <c r="AZ63" i="27"/>
  <c r="BE63" i="27"/>
  <c r="AZ64" i="27"/>
  <c r="BE64" i="27"/>
  <c r="AZ1" i="27"/>
  <c r="BE1" i="27"/>
  <c r="AZ2" i="27"/>
  <c r="BE2" i="27"/>
  <c r="AZ3" i="27"/>
  <c r="BE3" i="27"/>
  <c r="AZ4" i="27"/>
  <c r="BE4" i="27"/>
  <c r="AZ5" i="27"/>
  <c r="BE5" i="27"/>
  <c r="AZ6" i="27"/>
  <c r="BE6" i="27"/>
  <c r="AZ7" i="27"/>
  <c r="BE7" i="27"/>
  <c r="AZ8" i="27"/>
  <c r="BE8" i="27"/>
  <c r="AZ9" i="27"/>
  <c r="BE9" i="27"/>
  <c r="BG9" i="27" s="1"/>
  <c r="AZ10" i="27"/>
  <c r="BE10" i="27"/>
  <c r="AZ11" i="27"/>
  <c r="BE11" i="27"/>
  <c r="AZ12" i="27"/>
  <c r="BE12" i="27"/>
  <c r="AZ13" i="27"/>
  <c r="BE13" i="27"/>
  <c r="AZ14" i="27"/>
  <c r="BE14" i="27"/>
  <c r="AZ15" i="27"/>
  <c r="BE15" i="27"/>
  <c r="AZ16" i="27"/>
  <c r="BE16" i="27"/>
  <c r="AZ17" i="27"/>
  <c r="BE17" i="27"/>
  <c r="AZ18" i="27"/>
  <c r="BE18" i="27"/>
  <c r="AZ19" i="27"/>
  <c r="BE19" i="27"/>
  <c r="AZ20" i="27"/>
  <c r="BE20" i="27"/>
  <c r="AZ21" i="27"/>
  <c r="BE21" i="27"/>
  <c r="AZ22" i="27"/>
  <c r="BE22" i="27"/>
  <c r="AZ23" i="27"/>
  <c r="BE23" i="27"/>
  <c r="AZ24" i="27"/>
  <c r="BE24" i="27"/>
  <c r="AZ25" i="27"/>
  <c r="BE25" i="27"/>
  <c r="AZ26" i="27"/>
  <c r="BE26" i="27"/>
  <c r="BG26" i="27" s="1"/>
  <c r="AZ27" i="27"/>
  <c r="BE27" i="27"/>
  <c r="AZ28" i="27"/>
  <c r="BE28" i="27"/>
  <c r="AZ29" i="27"/>
  <c r="BE29" i="27"/>
  <c r="AZ30" i="27"/>
  <c r="BB30" i="27" s="1"/>
  <c r="BE30" i="27"/>
  <c r="AZ31" i="27"/>
  <c r="BE31" i="27"/>
  <c r="AZ32" i="27"/>
  <c r="BE32" i="27"/>
  <c r="BA300" i="23"/>
  <c r="BA299" i="23"/>
  <c r="BA298" i="23"/>
  <c r="BA297" i="23"/>
  <c r="BA296" i="23"/>
  <c r="BA295" i="23"/>
  <c r="BA294" i="23"/>
  <c r="BA293" i="23"/>
  <c r="BA292" i="23"/>
  <c r="BA291" i="23"/>
  <c r="BA290" i="23"/>
  <c r="BB290" i="23" s="1"/>
  <c r="BA289" i="23"/>
  <c r="BA288" i="23"/>
  <c r="BA287" i="23"/>
  <c r="BA286" i="23"/>
  <c r="BA285" i="23"/>
  <c r="BA284" i="23"/>
  <c r="BA283" i="23"/>
  <c r="BA282" i="23"/>
  <c r="BA281" i="23"/>
  <c r="BA280" i="23"/>
  <c r="BA279" i="23"/>
  <c r="BA278" i="23"/>
  <c r="BA277" i="23"/>
  <c r="BA276" i="23"/>
  <c r="BA275" i="23"/>
  <c r="BA274" i="23"/>
  <c r="BA273" i="23"/>
  <c r="BA272" i="23"/>
  <c r="BA271" i="23"/>
  <c r="BA270" i="23"/>
  <c r="BB270" i="23" s="1"/>
  <c r="BA269" i="23"/>
  <c r="BA268" i="23"/>
  <c r="BA267" i="23"/>
  <c r="BA266" i="23"/>
  <c r="BA265" i="23"/>
  <c r="BA264" i="23"/>
  <c r="BA263" i="23"/>
  <c r="BA262" i="23"/>
  <c r="BA261" i="23"/>
  <c r="BA260" i="23"/>
  <c r="BA259" i="23"/>
  <c r="BA258" i="23"/>
  <c r="BB258" i="23" s="1"/>
  <c r="BA257" i="23"/>
  <c r="BA256" i="23"/>
  <c r="BA255" i="23"/>
  <c r="BA254" i="23"/>
  <c r="BA253" i="23"/>
  <c r="BA252" i="23"/>
  <c r="BA251" i="23"/>
  <c r="BA250" i="23"/>
  <c r="BA249" i="23"/>
  <c r="BA248" i="23"/>
  <c r="BA247" i="23"/>
  <c r="BA246" i="23"/>
  <c r="BA245" i="23"/>
  <c r="BA244" i="23"/>
  <c r="BA243" i="23"/>
  <c r="BA242" i="23"/>
  <c r="BA241" i="23"/>
  <c r="BA240" i="23"/>
  <c r="BA239" i="23"/>
  <c r="BA238" i="23"/>
  <c r="BB238" i="23" s="1"/>
  <c r="BA237" i="23"/>
  <c r="BA236" i="23"/>
  <c r="BA235" i="23"/>
  <c r="BA234" i="23"/>
  <c r="BA233" i="23"/>
  <c r="BA232" i="23"/>
  <c r="BA231" i="23"/>
  <c r="BA230" i="23"/>
  <c r="BA229" i="23"/>
  <c r="BA228" i="23"/>
  <c r="BA227" i="23"/>
  <c r="BA226" i="23"/>
  <c r="BB226" i="23" s="1"/>
  <c r="BA225" i="23"/>
  <c r="BA224" i="23"/>
  <c r="BA223" i="23"/>
  <c r="BA222" i="23"/>
  <c r="BA221" i="23"/>
  <c r="BA220" i="23"/>
  <c r="BA219" i="23"/>
  <c r="BA218" i="23"/>
  <c r="BA217" i="23"/>
  <c r="BA216" i="23"/>
  <c r="BA215" i="23"/>
  <c r="BA214" i="23"/>
  <c r="BA213" i="23"/>
  <c r="BA212" i="23"/>
  <c r="BA211" i="23"/>
  <c r="BA210" i="23"/>
  <c r="BA209" i="23"/>
  <c r="BA208" i="23"/>
  <c r="BA207" i="23"/>
  <c r="BA206" i="23"/>
  <c r="BB206" i="23" s="1"/>
  <c r="BA205" i="23"/>
  <c r="BA204" i="23"/>
  <c r="BA203" i="23"/>
  <c r="BA202" i="23"/>
  <c r="BA201" i="23"/>
  <c r="BF200" i="23"/>
  <c r="BA200" i="23"/>
  <c r="BF199" i="23"/>
  <c r="BA199" i="23"/>
  <c r="BF198" i="23"/>
  <c r="BA198" i="23"/>
  <c r="BF197" i="23"/>
  <c r="BG197" i="23" s="1"/>
  <c r="BA197" i="23"/>
  <c r="BF196" i="23"/>
  <c r="BA196" i="23"/>
  <c r="BF195" i="23"/>
  <c r="BA195" i="23"/>
  <c r="BF194" i="23"/>
  <c r="BA194" i="23"/>
  <c r="BF193" i="23"/>
  <c r="BA193" i="23"/>
  <c r="BF192" i="23"/>
  <c r="BA192" i="23"/>
  <c r="BF191" i="23"/>
  <c r="BA191" i="23"/>
  <c r="BF190" i="23"/>
  <c r="BA190" i="23"/>
  <c r="BF189" i="23"/>
  <c r="BA189" i="23"/>
  <c r="BF188" i="23"/>
  <c r="BA188" i="23"/>
  <c r="BF187" i="23"/>
  <c r="BG187" i="23" s="1"/>
  <c r="BA187" i="23"/>
  <c r="BF186" i="23"/>
  <c r="BA186" i="23"/>
  <c r="BF185" i="23"/>
  <c r="BA185" i="23"/>
  <c r="BF184" i="23"/>
  <c r="BA184" i="23"/>
  <c r="BF183" i="23"/>
  <c r="BA183" i="23"/>
  <c r="BF182" i="23"/>
  <c r="BA182" i="23"/>
  <c r="BF181" i="23"/>
  <c r="BG181" i="23" s="1"/>
  <c r="BA181" i="23"/>
  <c r="BF180" i="23"/>
  <c r="BA180" i="23"/>
  <c r="BF179" i="23"/>
  <c r="BA179" i="23"/>
  <c r="BF178" i="23"/>
  <c r="BA178" i="23"/>
  <c r="BF177" i="23"/>
  <c r="BA177" i="23"/>
  <c r="BF176" i="23"/>
  <c r="BA176" i="23"/>
  <c r="BF175" i="23"/>
  <c r="BA175" i="23"/>
  <c r="BF174" i="23"/>
  <c r="BA174" i="23"/>
  <c r="BF173" i="23"/>
  <c r="BA173" i="23"/>
  <c r="BF172" i="23"/>
  <c r="BA172" i="23"/>
  <c r="BF171" i="23"/>
  <c r="BG171" i="23" s="1"/>
  <c r="BA171" i="23"/>
  <c r="BF170" i="23"/>
  <c r="BA170" i="23"/>
  <c r="BF169" i="23"/>
  <c r="BA169" i="23"/>
  <c r="BF168" i="23"/>
  <c r="BA168" i="23"/>
  <c r="BF167" i="23"/>
  <c r="BA167" i="23"/>
  <c r="BF166" i="23"/>
  <c r="BA166" i="23"/>
  <c r="BF165" i="23"/>
  <c r="BG165" i="23" s="1"/>
  <c r="BA165" i="23"/>
  <c r="BF164" i="23"/>
  <c r="BA164" i="23"/>
  <c r="BF163" i="23"/>
  <c r="BA163" i="23"/>
  <c r="BF162" i="23"/>
  <c r="BA162" i="23"/>
  <c r="BF161" i="23"/>
  <c r="BA161" i="23"/>
  <c r="BF160" i="23"/>
  <c r="BA160" i="23"/>
  <c r="BF159" i="23"/>
  <c r="BA159" i="23"/>
  <c r="BF158" i="23"/>
  <c r="BA158" i="23"/>
  <c r="BF157" i="23"/>
  <c r="BA157" i="23"/>
  <c r="BF156" i="23"/>
  <c r="BA156" i="23"/>
  <c r="BF155" i="23"/>
  <c r="BG155" i="23" s="1"/>
  <c r="BA155" i="23"/>
  <c r="BF154" i="23"/>
  <c r="BA154" i="23"/>
  <c r="BF153" i="23"/>
  <c r="BA153" i="23"/>
  <c r="BF152" i="23"/>
  <c r="BA152" i="23"/>
  <c r="BF151" i="23"/>
  <c r="BA151" i="23"/>
  <c r="BF150" i="23"/>
  <c r="BA150" i="23"/>
  <c r="BF149" i="23"/>
  <c r="BG149" i="23" s="1"/>
  <c r="BA149" i="23"/>
  <c r="BF148" i="23"/>
  <c r="BA148" i="23"/>
  <c r="BF147" i="23"/>
  <c r="BA147" i="23"/>
  <c r="BF146" i="23"/>
  <c r="BA146" i="23"/>
  <c r="BF145" i="23"/>
  <c r="BA145" i="23"/>
  <c r="BF144" i="23"/>
  <c r="BA144" i="23"/>
  <c r="BF143" i="23"/>
  <c r="BA143" i="23"/>
  <c r="BF142" i="23"/>
  <c r="BA142" i="23"/>
  <c r="BF141" i="23"/>
  <c r="BA141" i="23"/>
  <c r="BF140" i="23"/>
  <c r="BA140" i="23"/>
  <c r="BF139" i="23"/>
  <c r="BG139" i="23" s="1"/>
  <c r="BA139" i="23"/>
  <c r="BF138" i="23"/>
  <c r="BA138" i="23"/>
  <c r="BF137" i="23"/>
  <c r="BA137" i="23"/>
  <c r="BF136" i="23"/>
  <c r="BA136" i="23"/>
  <c r="BF135" i="23"/>
  <c r="BA135" i="23"/>
  <c r="BF134" i="23"/>
  <c r="BA134" i="23"/>
  <c r="BF133" i="23"/>
  <c r="BG133" i="23" s="1"/>
  <c r="BA133" i="23"/>
  <c r="BF132" i="23"/>
  <c r="BA132" i="23"/>
  <c r="BF131" i="23"/>
  <c r="BA131" i="23"/>
  <c r="BF130" i="23"/>
  <c r="BA130" i="23"/>
  <c r="BF129" i="23"/>
  <c r="BA129" i="23"/>
  <c r="BF128" i="23"/>
  <c r="BA128" i="23"/>
  <c r="BF127" i="23"/>
  <c r="BA127" i="23"/>
  <c r="BF126" i="23"/>
  <c r="BA126" i="23"/>
  <c r="BF125" i="23"/>
  <c r="BA125" i="23"/>
  <c r="BF124" i="23"/>
  <c r="BA124" i="23"/>
  <c r="BF123" i="23"/>
  <c r="BG123" i="23" s="1"/>
  <c r="BA123" i="23"/>
  <c r="BF122" i="23"/>
  <c r="BA122" i="23"/>
  <c r="BF121" i="23"/>
  <c r="BA121" i="23"/>
  <c r="BF120" i="23"/>
  <c r="BA120" i="23"/>
  <c r="BF119" i="23"/>
  <c r="BA119" i="23"/>
  <c r="BF118" i="23"/>
  <c r="BA118" i="23"/>
  <c r="BF117" i="23"/>
  <c r="BG117" i="23" s="1"/>
  <c r="BA117" i="23"/>
  <c r="BF116" i="23"/>
  <c r="BA116" i="23"/>
  <c r="BF115" i="23"/>
  <c r="BA115" i="23"/>
  <c r="BF114" i="23"/>
  <c r="BA114" i="23"/>
  <c r="BF113" i="23"/>
  <c r="BA113" i="23"/>
  <c r="BF112" i="23"/>
  <c r="BA112" i="23"/>
  <c r="BF111" i="23"/>
  <c r="BA111" i="23"/>
  <c r="BF110" i="23"/>
  <c r="BA110" i="23"/>
  <c r="BF109" i="23"/>
  <c r="BA109" i="23"/>
  <c r="BF108" i="23"/>
  <c r="BA108" i="23"/>
  <c r="BF107" i="23"/>
  <c r="BG107" i="23" s="1"/>
  <c r="BA107" i="23"/>
  <c r="BF106" i="23"/>
  <c r="BA106" i="23"/>
  <c r="BF105" i="23"/>
  <c r="BA105" i="23"/>
  <c r="BF104" i="23"/>
  <c r="BA104" i="23"/>
  <c r="BF103" i="23"/>
  <c r="BA103" i="23"/>
  <c r="BF102" i="23"/>
  <c r="BA102" i="23"/>
  <c r="BF101" i="23"/>
  <c r="BG101" i="23" s="1"/>
  <c r="BA101" i="23"/>
  <c r="BF100" i="23"/>
  <c r="BA100" i="23"/>
  <c r="BF99" i="23"/>
  <c r="BG99" i="23" s="1"/>
  <c r="BA99" i="23"/>
  <c r="BF98" i="23"/>
  <c r="BA98" i="23"/>
  <c r="BF97" i="23"/>
  <c r="BG97" i="23" s="1"/>
  <c r="BA97" i="23"/>
  <c r="BF96" i="23"/>
  <c r="BA96" i="23"/>
  <c r="BF95" i="23"/>
  <c r="BG95" i="23" s="1"/>
  <c r="BA95" i="23"/>
  <c r="BF94" i="23"/>
  <c r="BA94" i="23"/>
  <c r="BF93" i="23"/>
  <c r="BG93" i="23" s="1"/>
  <c r="BA93" i="23"/>
  <c r="BF92" i="23"/>
  <c r="BA92" i="23"/>
  <c r="BF91" i="23"/>
  <c r="BG91" i="23" s="1"/>
  <c r="BA91" i="23"/>
  <c r="BF90" i="23"/>
  <c r="BA90" i="23"/>
  <c r="BF89" i="23"/>
  <c r="BG89" i="23" s="1"/>
  <c r="BA89" i="23"/>
  <c r="BF88" i="23"/>
  <c r="BA88" i="23"/>
  <c r="BF87" i="23"/>
  <c r="BG87" i="23" s="1"/>
  <c r="BA87" i="23"/>
  <c r="BF86" i="23"/>
  <c r="BA86" i="23"/>
  <c r="BF85" i="23"/>
  <c r="BG85" i="23" s="1"/>
  <c r="BA85" i="23"/>
  <c r="BF84" i="23"/>
  <c r="BA84" i="23"/>
  <c r="BF83" i="23"/>
  <c r="BG83" i="23" s="1"/>
  <c r="BA83" i="23"/>
  <c r="BF82" i="23"/>
  <c r="BA82" i="23"/>
  <c r="BF81" i="23"/>
  <c r="BG81" i="23" s="1"/>
  <c r="BA81" i="23"/>
  <c r="BF80" i="23"/>
  <c r="BA80" i="23"/>
  <c r="BF79" i="23"/>
  <c r="BA79" i="23"/>
  <c r="BF78" i="23"/>
  <c r="BA78" i="23"/>
  <c r="BB78" i="23" s="1"/>
  <c r="BF77" i="23"/>
  <c r="BA77" i="23"/>
  <c r="BF76" i="23"/>
  <c r="BA76" i="23"/>
  <c r="BF75" i="23"/>
  <c r="BA75" i="23"/>
  <c r="BF74" i="23"/>
  <c r="BA74" i="23"/>
  <c r="BF73" i="23"/>
  <c r="BA73" i="23"/>
  <c r="BF72" i="23"/>
  <c r="BA72" i="23"/>
  <c r="BF71" i="23"/>
  <c r="BA71" i="23"/>
  <c r="BF70" i="23"/>
  <c r="BA70" i="23"/>
  <c r="BF69" i="23"/>
  <c r="BA69" i="23"/>
  <c r="BF68" i="23"/>
  <c r="BA68" i="23"/>
  <c r="BF67" i="23"/>
  <c r="BA67" i="23"/>
  <c r="BB67" i="23" s="1"/>
  <c r="BF66" i="23"/>
  <c r="BA66" i="23"/>
  <c r="BF65" i="23"/>
  <c r="BA65" i="23"/>
  <c r="BF64" i="23"/>
  <c r="BA64" i="23"/>
  <c r="BB64" i="23" s="1"/>
  <c r="BF63" i="23"/>
  <c r="BA63" i="23"/>
  <c r="BF62" i="23"/>
  <c r="BA62" i="23"/>
  <c r="BB62" i="23" s="1"/>
  <c r="BF61" i="23"/>
  <c r="BA61" i="23"/>
  <c r="BF60" i="23"/>
  <c r="BA60" i="23"/>
  <c r="BF59" i="23"/>
  <c r="BA59" i="23"/>
  <c r="BF58" i="23"/>
  <c r="BA58" i="23"/>
  <c r="BB58" i="23" s="1"/>
  <c r="BF57" i="23"/>
  <c r="BA57" i="23"/>
  <c r="BF56" i="23"/>
  <c r="BA56" i="23"/>
  <c r="BF55" i="23"/>
  <c r="BA55" i="23"/>
  <c r="BF54" i="23"/>
  <c r="BA54" i="23"/>
  <c r="BB54" i="23" s="1"/>
  <c r="BF53" i="23"/>
  <c r="BA53" i="23"/>
  <c r="BF52" i="23"/>
  <c r="BA52" i="23"/>
  <c r="BF51" i="23"/>
  <c r="BA51" i="23"/>
  <c r="BF50" i="23"/>
  <c r="BA50" i="23"/>
  <c r="BB50" i="23" s="1"/>
  <c r="BF49" i="23"/>
  <c r="BA49" i="23"/>
  <c r="BF48" i="23"/>
  <c r="BA48" i="23"/>
  <c r="BF47" i="23"/>
  <c r="BA47" i="23"/>
  <c r="BF46" i="23"/>
  <c r="BA46" i="23"/>
  <c r="BB46" i="23" s="1"/>
  <c r="BF45" i="23"/>
  <c r="BA45" i="23"/>
  <c r="BF44" i="23"/>
  <c r="BA44" i="23"/>
  <c r="BF43" i="23"/>
  <c r="BA43" i="23"/>
  <c r="BF42" i="23"/>
  <c r="BA42" i="23"/>
  <c r="BB42" i="23" s="1"/>
  <c r="BF41" i="23"/>
  <c r="BA41" i="23"/>
  <c r="BF40" i="23"/>
  <c r="BA40" i="23"/>
  <c r="BF39" i="23"/>
  <c r="BA39" i="23"/>
  <c r="BF38" i="23"/>
  <c r="BA38" i="23"/>
  <c r="BB38" i="23" s="1"/>
  <c r="BF37" i="23"/>
  <c r="BA37" i="23"/>
  <c r="BF36" i="23"/>
  <c r="BA36" i="23"/>
  <c r="BF35" i="23"/>
  <c r="BA35" i="23"/>
  <c r="BF34" i="23"/>
  <c r="BA34" i="23"/>
  <c r="BB34" i="23" s="1"/>
  <c r="BF33" i="23"/>
  <c r="BA33" i="23"/>
  <c r="BF32" i="23"/>
  <c r="BA32" i="23"/>
  <c r="BF31" i="23"/>
  <c r="BA31" i="23"/>
  <c r="BF30" i="23"/>
  <c r="BA30" i="23"/>
  <c r="BB30" i="23" s="1"/>
  <c r="BF29" i="23"/>
  <c r="BA29" i="23"/>
  <c r="BF28" i="23"/>
  <c r="BA28" i="23"/>
  <c r="BF27" i="23"/>
  <c r="BA27" i="23"/>
  <c r="BF26" i="23"/>
  <c r="BA26" i="23"/>
  <c r="BB26" i="23" s="1"/>
  <c r="BF25" i="23"/>
  <c r="BA25" i="23"/>
  <c r="BF24" i="23"/>
  <c r="BA24" i="23"/>
  <c r="BF23" i="23"/>
  <c r="BA23" i="23"/>
  <c r="BF22" i="23"/>
  <c r="BA22" i="23"/>
  <c r="BB22" i="23" s="1"/>
  <c r="BF21" i="23"/>
  <c r="BA21" i="23"/>
  <c r="BF20" i="23"/>
  <c r="BA20" i="23"/>
  <c r="BF19" i="23"/>
  <c r="BA19" i="23"/>
  <c r="BF18" i="23"/>
  <c r="BA18" i="23"/>
  <c r="BB18" i="23" s="1"/>
  <c r="BF17" i="23"/>
  <c r="BA17" i="23"/>
  <c r="BF16" i="23"/>
  <c r="BA16" i="23"/>
  <c r="BF15" i="23"/>
  <c r="BA15" i="23"/>
  <c r="BF14" i="23"/>
  <c r="BA14" i="23"/>
  <c r="BB14" i="23" s="1"/>
  <c r="BF13" i="23"/>
  <c r="BA13" i="23"/>
  <c r="BF12" i="23"/>
  <c r="BA12" i="23"/>
  <c r="BF11" i="23"/>
  <c r="BA11" i="23"/>
  <c r="BF10" i="23"/>
  <c r="BA10" i="23"/>
  <c r="BB10" i="23" s="1"/>
  <c r="BF9" i="23"/>
  <c r="BA9" i="23"/>
  <c r="BF8" i="23"/>
  <c r="BA8" i="23"/>
  <c r="BF7" i="23"/>
  <c r="BA7" i="23"/>
  <c r="BF6" i="23"/>
  <c r="BA6" i="23"/>
  <c r="BB6" i="23" s="1"/>
  <c r="BF5" i="23"/>
  <c r="BA5" i="23"/>
  <c r="BF4" i="23"/>
  <c r="BA4" i="23"/>
  <c r="BF3" i="23"/>
  <c r="BA3" i="23"/>
  <c r="BF2" i="23"/>
  <c r="BA2" i="23"/>
  <c r="BB2" i="23" s="1"/>
  <c r="BF1" i="23"/>
  <c r="BA1" i="23"/>
  <c r="AZ289" i="23"/>
  <c r="AZ290" i="23"/>
  <c r="AZ291" i="23"/>
  <c r="AZ292" i="23"/>
  <c r="AZ293" i="23"/>
  <c r="AZ294" i="23"/>
  <c r="AZ295" i="23"/>
  <c r="AZ296" i="23"/>
  <c r="AZ297" i="23"/>
  <c r="AZ298" i="23"/>
  <c r="AZ299" i="23"/>
  <c r="AZ300" i="23"/>
  <c r="AZ257" i="23"/>
  <c r="AZ258" i="23"/>
  <c r="AZ259" i="23"/>
  <c r="AZ260" i="23"/>
  <c r="AZ261" i="23"/>
  <c r="AZ262" i="23"/>
  <c r="AZ263" i="23"/>
  <c r="AZ264" i="23"/>
  <c r="AZ265" i="23"/>
  <c r="AZ266" i="23"/>
  <c r="AZ267" i="23"/>
  <c r="AZ268" i="23"/>
  <c r="AZ269" i="23"/>
  <c r="AZ270" i="23"/>
  <c r="AZ271" i="23"/>
  <c r="AZ272" i="23"/>
  <c r="AZ273" i="23"/>
  <c r="AZ274" i="23"/>
  <c r="AZ275" i="23"/>
  <c r="AZ276" i="23"/>
  <c r="AZ277" i="23"/>
  <c r="AZ278" i="23"/>
  <c r="AZ279" i="23"/>
  <c r="AZ280" i="23"/>
  <c r="AZ281" i="23"/>
  <c r="AZ282" i="23"/>
  <c r="AZ283" i="23"/>
  <c r="AZ284" i="23"/>
  <c r="AZ285" i="23"/>
  <c r="AZ286" i="23"/>
  <c r="AZ287" i="23"/>
  <c r="AZ288" i="23"/>
  <c r="AZ225" i="23"/>
  <c r="AZ226" i="23"/>
  <c r="AZ227" i="23"/>
  <c r="AZ228" i="23"/>
  <c r="AZ229" i="23"/>
  <c r="AZ230" i="23"/>
  <c r="AZ231" i="23"/>
  <c r="AZ232" i="23"/>
  <c r="AZ233" i="23"/>
  <c r="AZ234" i="23"/>
  <c r="AZ235" i="23"/>
  <c r="AZ236" i="23"/>
  <c r="AZ237" i="23"/>
  <c r="AZ238" i="23"/>
  <c r="AZ239" i="23"/>
  <c r="AZ240" i="23"/>
  <c r="AZ241" i="23"/>
  <c r="AZ242" i="23"/>
  <c r="AZ243" i="23"/>
  <c r="AZ244" i="23"/>
  <c r="AZ245" i="23"/>
  <c r="AZ246" i="23"/>
  <c r="AZ247" i="23"/>
  <c r="AZ248" i="23"/>
  <c r="AZ249" i="23"/>
  <c r="AZ250" i="23"/>
  <c r="AZ251" i="23"/>
  <c r="AZ252" i="23"/>
  <c r="AZ253" i="23"/>
  <c r="AZ254" i="23"/>
  <c r="AZ255" i="23"/>
  <c r="AZ256" i="23"/>
  <c r="AZ193" i="23"/>
  <c r="BE193" i="23"/>
  <c r="AZ194" i="23"/>
  <c r="BE194" i="23"/>
  <c r="AZ195" i="23"/>
  <c r="BE195" i="23"/>
  <c r="AZ196" i="23"/>
  <c r="BE196" i="23"/>
  <c r="AZ197" i="23"/>
  <c r="BE197" i="23"/>
  <c r="AZ198" i="23"/>
  <c r="BE198" i="23"/>
  <c r="AZ199" i="23"/>
  <c r="BE199" i="23"/>
  <c r="AZ200" i="23"/>
  <c r="BE200" i="23"/>
  <c r="AZ201" i="23"/>
  <c r="AZ202" i="23"/>
  <c r="AZ203" i="23"/>
  <c r="AZ204" i="23"/>
  <c r="AZ205" i="23"/>
  <c r="AZ206" i="23"/>
  <c r="AZ207" i="23"/>
  <c r="AZ208" i="23"/>
  <c r="AZ209" i="23"/>
  <c r="AZ210" i="23"/>
  <c r="AZ211" i="23"/>
  <c r="AZ212" i="23"/>
  <c r="AZ213" i="23"/>
  <c r="AZ214" i="23"/>
  <c r="AZ215" i="23"/>
  <c r="AZ216" i="23"/>
  <c r="AZ217" i="23"/>
  <c r="AZ218" i="23"/>
  <c r="AZ219" i="23"/>
  <c r="AZ220" i="23"/>
  <c r="AZ221" i="23"/>
  <c r="AZ222" i="23"/>
  <c r="AZ223" i="23"/>
  <c r="AZ224" i="23"/>
  <c r="AZ161" i="23"/>
  <c r="BE161" i="23"/>
  <c r="AZ162" i="23"/>
  <c r="BE162" i="23"/>
  <c r="AZ163" i="23"/>
  <c r="BE163" i="23"/>
  <c r="AZ164" i="23"/>
  <c r="BE164" i="23"/>
  <c r="AZ165" i="23"/>
  <c r="BE165" i="23"/>
  <c r="AZ166" i="23"/>
  <c r="BE166" i="23"/>
  <c r="AZ167" i="23"/>
  <c r="BE167" i="23"/>
  <c r="AZ168" i="23"/>
  <c r="BE168" i="23"/>
  <c r="AZ169" i="23"/>
  <c r="BE169" i="23"/>
  <c r="AZ170" i="23"/>
  <c r="BE170" i="23"/>
  <c r="AZ171" i="23"/>
  <c r="BE171" i="23"/>
  <c r="AZ172" i="23"/>
  <c r="BE172" i="23"/>
  <c r="AZ173" i="23"/>
  <c r="BE173" i="23"/>
  <c r="AZ174" i="23"/>
  <c r="BE174" i="23"/>
  <c r="AZ175" i="23"/>
  <c r="BE175" i="23"/>
  <c r="AZ176" i="23"/>
  <c r="BE176" i="23"/>
  <c r="AZ177" i="23"/>
  <c r="BE177" i="23"/>
  <c r="AZ178" i="23"/>
  <c r="BE178" i="23"/>
  <c r="AZ179" i="23"/>
  <c r="BE179" i="23"/>
  <c r="AZ180" i="23"/>
  <c r="BE180" i="23"/>
  <c r="AZ181" i="23"/>
  <c r="BE181" i="23"/>
  <c r="AZ182" i="23"/>
  <c r="BE182" i="23"/>
  <c r="AZ183" i="23"/>
  <c r="BE183" i="23"/>
  <c r="AZ184" i="23"/>
  <c r="BE184" i="23"/>
  <c r="AZ185" i="23"/>
  <c r="BE185" i="23"/>
  <c r="AZ186" i="23"/>
  <c r="BE186" i="23"/>
  <c r="AZ187" i="23"/>
  <c r="BE187" i="23"/>
  <c r="AZ188" i="23"/>
  <c r="BE188" i="23"/>
  <c r="AZ189" i="23"/>
  <c r="BE189" i="23"/>
  <c r="AZ190" i="23"/>
  <c r="BE190" i="23"/>
  <c r="AZ191" i="23"/>
  <c r="BE191" i="23"/>
  <c r="AZ192" i="23"/>
  <c r="BE192" i="23"/>
  <c r="AZ129" i="23"/>
  <c r="BE129" i="23"/>
  <c r="AZ130" i="23"/>
  <c r="BE130" i="23"/>
  <c r="AZ131" i="23"/>
  <c r="BE131" i="23"/>
  <c r="AZ132" i="23"/>
  <c r="BE132" i="23"/>
  <c r="AZ133" i="23"/>
  <c r="BE133" i="23"/>
  <c r="AZ134" i="23"/>
  <c r="BE134" i="23"/>
  <c r="AZ135" i="23"/>
  <c r="BE135" i="23"/>
  <c r="AZ136" i="23"/>
  <c r="BE136" i="23"/>
  <c r="AZ137" i="23"/>
  <c r="BE137" i="23"/>
  <c r="AZ138" i="23"/>
  <c r="BE138" i="23"/>
  <c r="AZ139" i="23"/>
  <c r="BE139" i="23"/>
  <c r="AZ140" i="23"/>
  <c r="BE140" i="23"/>
  <c r="AZ141" i="23"/>
  <c r="BE141" i="23"/>
  <c r="AZ142" i="23"/>
  <c r="BE142" i="23"/>
  <c r="AZ143" i="23"/>
  <c r="BE143" i="23"/>
  <c r="AZ144" i="23"/>
  <c r="BE144" i="23"/>
  <c r="AZ145" i="23"/>
  <c r="BE145" i="23"/>
  <c r="AZ146" i="23"/>
  <c r="BE146" i="23"/>
  <c r="AZ147" i="23"/>
  <c r="BE147" i="23"/>
  <c r="AZ148" i="23"/>
  <c r="BE148" i="23"/>
  <c r="AZ149" i="23"/>
  <c r="BE149" i="23"/>
  <c r="AZ150" i="23"/>
  <c r="BE150" i="23"/>
  <c r="AZ151" i="23"/>
  <c r="BE151" i="23"/>
  <c r="AZ152" i="23"/>
  <c r="BE152" i="23"/>
  <c r="AZ153" i="23"/>
  <c r="BE153" i="23"/>
  <c r="AZ154" i="23"/>
  <c r="BE154" i="23"/>
  <c r="AZ155" i="23"/>
  <c r="BE155" i="23"/>
  <c r="AZ156" i="23"/>
  <c r="BE156" i="23"/>
  <c r="AZ157" i="23"/>
  <c r="BE157" i="23"/>
  <c r="AZ158" i="23"/>
  <c r="BE158" i="23"/>
  <c r="AZ159" i="23"/>
  <c r="BE159" i="23"/>
  <c r="AZ160" i="23"/>
  <c r="BE160" i="23"/>
  <c r="AZ97" i="23"/>
  <c r="BE97" i="23"/>
  <c r="AZ98" i="23"/>
  <c r="BE98" i="23"/>
  <c r="AZ99" i="23"/>
  <c r="BE99" i="23"/>
  <c r="AZ100" i="23"/>
  <c r="BE100" i="23"/>
  <c r="AZ101" i="23"/>
  <c r="BE101" i="23"/>
  <c r="AZ102" i="23"/>
  <c r="BE102" i="23"/>
  <c r="AZ103" i="23"/>
  <c r="BE103" i="23"/>
  <c r="AZ104" i="23"/>
  <c r="BE104" i="23"/>
  <c r="AZ105" i="23"/>
  <c r="BE105" i="23"/>
  <c r="AZ106" i="23"/>
  <c r="BE106" i="23"/>
  <c r="AZ107" i="23"/>
  <c r="BE107" i="23"/>
  <c r="AZ108" i="23"/>
  <c r="BE108" i="23"/>
  <c r="AZ109" i="23"/>
  <c r="BE109" i="23"/>
  <c r="AZ110" i="23"/>
  <c r="BE110" i="23"/>
  <c r="AZ111" i="23"/>
  <c r="BE111" i="23"/>
  <c r="AZ112" i="23"/>
  <c r="BE112" i="23"/>
  <c r="AZ113" i="23"/>
  <c r="BE113" i="23"/>
  <c r="AZ114" i="23"/>
  <c r="BE114" i="23"/>
  <c r="AZ115" i="23"/>
  <c r="BE115" i="23"/>
  <c r="AZ116" i="23"/>
  <c r="BE116" i="23"/>
  <c r="AZ117" i="23"/>
  <c r="BE117" i="23"/>
  <c r="AZ118" i="23"/>
  <c r="BE118" i="23"/>
  <c r="AZ119" i="23"/>
  <c r="BE119" i="23"/>
  <c r="AZ120" i="23"/>
  <c r="BE120" i="23"/>
  <c r="AZ121" i="23"/>
  <c r="BE121" i="23"/>
  <c r="AZ122" i="23"/>
  <c r="BE122" i="23"/>
  <c r="AZ123" i="23"/>
  <c r="BE123" i="23"/>
  <c r="AZ124" i="23"/>
  <c r="BE124" i="23"/>
  <c r="AZ125" i="23"/>
  <c r="BE125" i="23"/>
  <c r="AZ126" i="23"/>
  <c r="BE126" i="23"/>
  <c r="AZ127" i="23"/>
  <c r="BE127" i="23"/>
  <c r="AZ128" i="23"/>
  <c r="BE128" i="23"/>
  <c r="AZ65" i="23"/>
  <c r="BE65" i="23"/>
  <c r="AZ66" i="23"/>
  <c r="BE66" i="23"/>
  <c r="AZ67" i="23"/>
  <c r="BE67" i="23"/>
  <c r="AZ68" i="23"/>
  <c r="BE68" i="23"/>
  <c r="AZ69" i="23"/>
  <c r="BE69" i="23"/>
  <c r="AZ70" i="23"/>
  <c r="BE70" i="23"/>
  <c r="AZ71" i="23"/>
  <c r="BE71" i="23"/>
  <c r="AZ72" i="23"/>
  <c r="BE72" i="23"/>
  <c r="AZ73" i="23"/>
  <c r="BE73" i="23"/>
  <c r="AZ74" i="23"/>
  <c r="BE74" i="23"/>
  <c r="AZ75" i="23"/>
  <c r="BE75" i="23"/>
  <c r="AZ76" i="23"/>
  <c r="BE76" i="23"/>
  <c r="AZ77" i="23"/>
  <c r="BE77" i="23"/>
  <c r="AZ78" i="23"/>
  <c r="BE78" i="23"/>
  <c r="AZ79" i="23"/>
  <c r="BE79" i="23"/>
  <c r="AZ80" i="23"/>
  <c r="BE80" i="23"/>
  <c r="AZ81" i="23"/>
  <c r="BE81" i="23"/>
  <c r="AZ82" i="23"/>
  <c r="BE82" i="23"/>
  <c r="AZ83" i="23"/>
  <c r="BE83" i="23"/>
  <c r="AZ84" i="23"/>
  <c r="BE84" i="23"/>
  <c r="AZ85" i="23"/>
  <c r="BE85" i="23"/>
  <c r="AZ86" i="23"/>
  <c r="BE86" i="23"/>
  <c r="AZ87" i="23"/>
  <c r="BE87" i="23"/>
  <c r="AZ88" i="23"/>
  <c r="BE88" i="23"/>
  <c r="AZ89" i="23"/>
  <c r="BE89" i="23"/>
  <c r="AZ90" i="23"/>
  <c r="BE90" i="23"/>
  <c r="AZ91" i="23"/>
  <c r="BE91" i="23"/>
  <c r="AZ92" i="23"/>
  <c r="BE92" i="23"/>
  <c r="AZ93" i="23"/>
  <c r="BE93" i="23"/>
  <c r="AZ94" i="23"/>
  <c r="BE94" i="23"/>
  <c r="AZ95" i="23"/>
  <c r="BE95" i="23"/>
  <c r="AZ96" i="23"/>
  <c r="BE96" i="23"/>
  <c r="AZ33" i="23"/>
  <c r="BE33" i="23"/>
  <c r="AZ34" i="23"/>
  <c r="BE34" i="23"/>
  <c r="AZ35" i="23"/>
  <c r="BE35" i="23"/>
  <c r="AZ36" i="23"/>
  <c r="BE36" i="23"/>
  <c r="AZ37" i="23"/>
  <c r="BE37" i="23"/>
  <c r="AZ38" i="23"/>
  <c r="BE38" i="23"/>
  <c r="AZ39" i="23"/>
  <c r="BE39" i="23"/>
  <c r="AZ40" i="23"/>
  <c r="BE40" i="23"/>
  <c r="AZ41" i="23"/>
  <c r="BE41" i="23"/>
  <c r="AZ42" i="23"/>
  <c r="BE42" i="23"/>
  <c r="AZ43" i="23"/>
  <c r="BE43" i="23"/>
  <c r="AZ44" i="23"/>
  <c r="BE44" i="23"/>
  <c r="AZ45" i="23"/>
  <c r="BE45" i="23"/>
  <c r="AZ46" i="23"/>
  <c r="BE46" i="23"/>
  <c r="AZ47" i="23"/>
  <c r="BE47" i="23"/>
  <c r="AZ48" i="23"/>
  <c r="BE48" i="23"/>
  <c r="AZ49" i="23"/>
  <c r="BE49" i="23"/>
  <c r="AZ50" i="23"/>
  <c r="BE50" i="23"/>
  <c r="AZ51" i="23"/>
  <c r="BE51" i="23"/>
  <c r="AZ52" i="23"/>
  <c r="BE52" i="23"/>
  <c r="AZ53" i="23"/>
  <c r="BE53" i="23"/>
  <c r="AZ54" i="23"/>
  <c r="BE54" i="23"/>
  <c r="AZ55" i="23"/>
  <c r="BE55" i="23"/>
  <c r="AZ56" i="23"/>
  <c r="BE56" i="23"/>
  <c r="AZ57" i="23"/>
  <c r="BE57" i="23"/>
  <c r="AZ58" i="23"/>
  <c r="BE58" i="23"/>
  <c r="AZ59" i="23"/>
  <c r="BE59" i="23"/>
  <c r="AZ60" i="23"/>
  <c r="BE60" i="23"/>
  <c r="AZ61" i="23"/>
  <c r="BE61" i="23"/>
  <c r="AZ62" i="23"/>
  <c r="BE62" i="23"/>
  <c r="AZ63" i="23"/>
  <c r="BE63" i="23"/>
  <c r="AZ64" i="23"/>
  <c r="BE64" i="23"/>
  <c r="AZ1" i="23"/>
  <c r="BE1" i="23"/>
  <c r="AZ2" i="23"/>
  <c r="BE2" i="23"/>
  <c r="AZ3" i="23"/>
  <c r="BE3" i="23"/>
  <c r="AZ4" i="23"/>
  <c r="BE4" i="23"/>
  <c r="AZ5" i="23"/>
  <c r="BE5" i="23"/>
  <c r="AZ6" i="23"/>
  <c r="BE6" i="23"/>
  <c r="AZ7" i="23"/>
  <c r="BE7" i="23"/>
  <c r="AZ8" i="23"/>
  <c r="BE8" i="23"/>
  <c r="AZ9" i="23"/>
  <c r="BE9" i="23"/>
  <c r="AZ10" i="23"/>
  <c r="BE10" i="23"/>
  <c r="AZ11" i="23"/>
  <c r="BE11" i="23"/>
  <c r="AZ12" i="23"/>
  <c r="BE12" i="23"/>
  <c r="AZ13" i="23"/>
  <c r="BE13" i="23"/>
  <c r="AZ14" i="23"/>
  <c r="BE14" i="23"/>
  <c r="AZ15" i="23"/>
  <c r="BE15" i="23"/>
  <c r="AZ16" i="23"/>
  <c r="BE16" i="23"/>
  <c r="AZ17" i="23"/>
  <c r="BE17" i="23"/>
  <c r="AZ18" i="23"/>
  <c r="BE18" i="23"/>
  <c r="AZ19" i="23"/>
  <c r="BE19" i="23"/>
  <c r="AZ20" i="23"/>
  <c r="BE20" i="23"/>
  <c r="AZ21" i="23"/>
  <c r="BE21" i="23"/>
  <c r="AZ22" i="23"/>
  <c r="BE22" i="23"/>
  <c r="AZ23" i="23"/>
  <c r="BE23" i="23"/>
  <c r="AZ24" i="23"/>
  <c r="BE24" i="23"/>
  <c r="AZ25" i="23"/>
  <c r="BE25" i="23"/>
  <c r="AZ26" i="23"/>
  <c r="BE26" i="23"/>
  <c r="AZ27" i="23"/>
  <c r="BE27" i="23"/>
  <c r="AZ28" i="23"/>
  <c r="BE28" i="23"/>
  <c r="AZ29" i="23"/>
  <c r="BE29" i="23"/>
  <c r="AZ30" i="23"/>
  <c r="BE30" i="23"/>
  <c r="AZ31" i="23"/>
  <c r="BE31" i="23"/>
  <c r="AZ32" i="23"/>
  <c r="BE32" i="23"/>
  <c r="BB300" i="19"/>
  <c r="BB299" i="19"/>
  <c r="BB298" i="19"/>
  <c r="BB297" i="19"/>
  <c r="BB296" i="19"/>
  <c r="BB295" i="19"/>
  <c r="BB294" i="19"/>
  <c r="BB293" i="19"/>
  <c r="BB292" i="19"/>
  <c r="BB291" i="19"/>
  <c r="BB290" i="19"/>
  <c r="BB289" i="19"/>
  <c r="BB288" i="19"/>
  <c r="BB287" i="19"/>
  <c r="BB286" i="19"/>
  <c r="BB285" i="19"/>
  <c r="BB284" i="19"/>
  <c r="BB283" i="19"/>
  <c r="BB282" i="19"/>
  <c r="BB281" i="19"/>
  <c r="BB280" i="19"/>
  <c r="BB279" i="19"/>
  <c r="BB278" i="19"/>
  <c r="BB277" i="19"/>
  <c r="BB276" i="19"/>
  <c r="BB275" i="19"/>
  <c r="BC275" i="19" s="1"/>
  <c r="BB274" i="19"/>
  <c r="BB273" i="19"/>
  <c r="BB272" i="19"/>
  <c r="BB271" i="19"/>
  <c r="BB270" i="19"/>
  <c r="BB269" i="19"/>
  <c r="BB268" i="19"/>
  <c r="BB267" i="19"/>
  <c r="BB266" i="19"/>
  <c r="BB265" i="19"/>
  <c r="BB264" i="19"/>
  <c r="BB263" i="19"/>
  <c r="BB262" i="19"/>
  <c r="BB261" i="19"/>
  <c r="BB260" i="19"/>
  <c r="BB259" i="19"/>
  <c r="BB258" i="19"/>
  <c r="BB257" i="19"/>
  <c r="BB256" i="19"/>
  <c r="BB255" i="19"/>
  <c r="BB254" i="19"/>
  <c r="BB253" i="19"/>
  <c r="BB252" i="19"/>
  <c r="BB251" i="19"/>
  <c r="BB250" i="19"/>
  <c r="BB249" i="19"/>
  <c r="BB248" i="19"/>
  <c r="BB247" i="19"/>
  <c r="BB246" i="19"/>
  <c r="BB245" i="19"/>
  <c r="BB244" i="19"/>
  <c r="BB243" i="19"/>
  <c r="BC243" i="19" s="1"/>
  <c r="BB242" i="19"/>
  <c r="BB241" i="19"/>
  <c r="BB240" i="19"/>
  <c r="BB239" i="19"/>
  <c r="BB238" i="19"/>
  <c r="BB237" i="19"/>
  <c r="BB236" i="19"/>
  <c r="BB235" i="19"/>
  <c r="BB234" i="19"/>
  <c r="BB233" i="19"/>
  <c r="BB232" i="19"/>
  <c r="BB231" i="19"/>
  <c r="BB230" i="19"/>
  <c r="BB229" i="19"/>
  <c r="BB228" i="19"/>
  <c r="BB227" i="19"/>
  <c r="BB226" i="19"/>
  <c r="BB225" i="19"/>
  <c r="BB224" i="19"/>
  <c r="BB223" i="19"/>
  <c r="BB222" i="19"/>
  <c r="BB221" i="19"/>
  <c r="BB220" i="19"/>
  <c r="BB219" i="19"/>
  <c r="BB218" i="19"/>
  <c r="BB217" i="19"/>
  <c r="BB216" i="19"/>
  <c r="BB215" i="19"/>
  <c r="BB214" i="19"/>
  <c r="BB213" i="19"/>
  <c r="BB212" i="19"/>
  <c r="BB211" i="19"/>
  <c r="BC211" i="19" s="1"/>
  <c r="BB210" i="19"/>
  <c r="BB209" i="19"/>
  <c r="BB208" i="19"/>
  <c r="BB207" i="19"/>
  <c r="BB206" i="19"/>
  <c r="BB205" i="19"/>
  <c r="BB204" i="19"/>
  <c r="BB203" i="19"/>
  <c r="BB202" i="19"/>
  <c r="BB201" i="19"/>
  <c r="BG200" i="19"/>
  <c r="BB200" i="19"/>
  <c r="BG199" i="19"/>
  <c r="BB199" i="19"/>
  <c r="BG198" i="19"/>
  <c r="BB198" i="19"/>
  <c r="BG197" i="19"/>
  <c r="BB197" i="19"/>
  <c r="BG196" i="19"/>
  <c r="BB196" i="19"/>
  <c r="BG195" i="19"/>
  <c r="BB195" i="19"/>
  <c r="BG194" i="19"/>
  <c r="BB194" i="19"/>
  <c r="BG193" i="19"/>
  <c r="BB193" i="19"/>
  <c r="BG192" i="19"/>
  <c r="BB192" i="19"/>
  <c r="BG191" i="19"/>
  <c r="BB191" i="19"/>
  <c r="BG190" i="19"/>
  <c r="BB190" i="19"/>
  <c r="BC190" i="19" s="1"/>
  <c r="BG189" i="19"/>
  <c r="BB189" i="19"/>
  <c r="BG188" i="19"/>
  <c r="BB188" i="19"/>
  <c r="BG187" i="19"/>
  <c r="BB187" i="19"/>
  <c r="BG186" i="19"/>
  <c r="BB186" i="19"/>
  <c r="BG185" i="19"/>
  <c r="BB185" i="19"/>
  <c r="BG184" i="19"/>
  <c r="BB184" i="19"/>
  <c r="BG183" i="19"/>
  <c r="BB183" i="19"/>
  <c r="BG182" i="19"/>
  <c r="BB182" i="19"/>
  <c r="BG181" i="19"/>
  <c r="BB181" i="19"/>
  <c r="BG180" i="19"/>
  <c r="BB180" i="19"/>
  <c r="BG179" i="19"/>
  <c r="BB179" i="19"/>
  <c r="BG178" i="19"/>
  <c r="BB178" i="19"/>
  <c r="BG177" i="19"/>
  <c r="BB177" i="19"/>
  <c r="BG176" i="19"/>
  <c r="BB176" i="19"/>
  <c r="BG175" i="19"/>
  <c r="BB175" i="19"/>
  <c r="BG174" i="19"/>
  <c r="BB174" i="19"/>
  <c r="BC174" i="19" s="1"/>
  <c r="BG173" i="19"/>
  <c r="BB173" i="19"/>
  <c r="BG172" i="19"/>
  <c r="BB172" i="19"/>
  <c r="BG171" i="19"/>
  <c r="BB171" i="19"/>
  <c r="BG170" i="19"/>
  <c r="BB170" i="19"/>
  <c r="BG169" i="19"/>
  <c r="BB169" i="19"/>
  <c r="BG168" i="19"/>
  <c r="BB168" i="19"/>
  <c r="BG167" i="19"/>
  <c r="BB167" i="19"/>
  <c r="BG166" i="19"/>
  <c r="BB166" i="19"/>
  <c r="BG165" i="19"/>
  <c r="BB165" i="19"/>
  <c r="BG164" i="19"/>
  <c r="BB164" i="19"/>
  <c r="BG163" i="19"/>
  <c r="BB163" i="19"/>
  <c r="BG162" i="19"/>
  <c r="BB162" i="19"/>
  <c r="BG161" i="19"/>
  <c r="BB161" i="19"/>
  <c r="BG160" i="19"/>
  <c r="BB160" i="19"/>
  <c r="BG159" i="19"/>
  <c r="BB159" i="19"/>
  <c r="BG158" i="19"/>
  <c r="BB158" i="19"/>
  <c r="BC158" i="19" s="1"/>
  <c r="BG157" i="19"/>
  <c r="BB157" i="19"/>
  <c r="BG156" i="19"/>
  <c r="BB156" i="19"/>
  <c r="BG155" i="19"/>
  <c r="BB155" i="19"/>
  <c r="BG154" i="19"/>
  <c r="BB154" i="19"/>
  <c r="BG153" i="19"/>
  <c r="BB153" i="19"/>
  <c r="BG152" i="19"/>
  <c r="BB152" i="19"/>
  <c r="BG151" i="19"/>
  <c r="BB151" i="19"/>
  <c r="BG150" i="19"/>
  <c r="BB150" i="19"/>
  <c r="BG149" i="19"/>
  <c r="BB149" i="19"/>
  <c r="BG148" i="19"/>
  <c r="BB148" i="19"/>
  <c r="BG147" i="19"/>
  <c r="BB147" i="19"/>
  <c r="BG146" i="19"/>
  <c r="BB146" i="19"/>
  <c r="BG145" i="19"/>
  <c r="BB145" i="19"/>
  <c r="BG144" i="19"/>
  <c r="BB144" i="19"/>
  <c r="BG143" i="19"/>
  <c r="BB143" i="19"/>
  <c r="BG142" i="19"/>
  <c r="BB142" i="19"/>
  <c r="BC142" i="19" s="1"/>
  <c r="BG141" i="19"/>
  <c r="BB141" i="19"/>
  <c r="BG140" i="19"/>
  <c r="BB140" i="19"/>
  <c r="BG139" i="19"/>
  <c r="BB139" i="19"/>
  <c r="BG138" i="19"/>
  <c r="BB138" i="19"/>
  <c r="BG137" i="19"/>
  <c r="BB137" i="19"/>
  <c r="BG136" i="19"/>
  <c r="BB136" i="19"/>
  <c r="BG135" i="19"/>
  <c r="BB135" i="19"/>
  <c r="BG134" i="19"/>
  <c r="BB134" i="19"/>
  <c r="BG133" i="19"/>
  <c r="BB133" i="19"/>
  <c r="BG132" i="19"/>
  <c r="BB132" i="19"/>
  <c r="BG131" i="19"/>
  <c r="BB131" i="19"/>
  <c r="BG130" i="19"/>
  <c r="BB130" i="19"/>
  <c r="BG129" i="19"/>
  <c r="BB129" i="19"/>
  <c r="BG128" i="19"/>
  <c r="BB128" i="19"/>
  <c r="BG127" i="19"/>
  <c r="BB127" i="19"/>
  <c r="BG126" i="19"/>
  <c r="BB126" i="19"/>
  <c r="BC126" i="19" s="1"/>
  <c r="BG125" i="19"/>
  <c r="BB125" i="19"/>
  <c r="BG124" i="19"/>
  <c r="BB124" i="19"/>
  <c r="BG123" i="19"/>
  <c r="BB123" i="19"/>
  <c r="BG122" i="19"/>
  <c r="BB122" i="19"/>
  <c r="BG121" i="19"/>
  <c r="BB121" i="19"/>
  <c r="BG120" i="19"/>
  <c r="BB120" i="19"/>
  <c r="BG119" i="19"/>
  <c r="BB119" i="19"/>
  <c r="BG118" i="19"/>
  <c r="BB118" i="19"/>
  <c r="BG117" i="19"/>
  <c r="BB117" i="19"/>
  <c r="BG116" i="19"/>
  <c r="BB116" i="19"/>
  <c r="BG115" i="19"/>
  <c r="BB115" i="19"/>
  <c r="BC115" i="19" s="1"/>
  <c r="BG114" i="19"/>
  <c r="BB114" i="19"/>
  <c r="BG113" i="19"/>
  <c r="BB113" i="19"/>
  <c r="BG112" i="19"/>
  <c r="BB112" i="19"/>
  <c r="BG111" i="19"/>
  <c r="BH111" i="19" s="1"/>
  <c r="BB111" i="19"/>
  <c r="BG110" i="19"/>
  <c r="BB110" i="19"/>
  <c r="BG109" i="19"/>
  <c r="BH109" i="19" s="1"/>
  <c r="BB109" i="19"/>
  <c r="BG108" i="19"/>
  <c r="BB108" i="19"/>
  <c r="BG107" i="19"/>
  <c r="BB107" i="19"/>
  <c r="BC107" i="19" s="1"/>
  <c r="BG106" i="19"/>
  <c r="BB106" i="19"/>
  <c r="BG105" i="19"/>
  <c r="BB105" i="19"/>
  <c r="BC105" i="19" s="1"/>
  <c r="BG104" i="19"/>
  <c r="BB104" i="19"/>
  <c r="BG103" i="19"/>
  <c r="BB103" i="19"/>
  <c r="BG102" i="19"/>
  <c r="BH102" i="19" s="1"/>
  <c r="BB102" i="19"/>
  <c r="BG101" i="19"/>
  <c r="BH101" i="19" s="1"/>
  <c r="BB101" i="19"/>
  <c r="BG100" i="19"/>
  <c r="BH100" i="19" s="1"/>
  <c r="BB100" i="19"/>
  <c r="BG99" i="19"/>
  <c r="BB99" i="19"/>
  <c r="BG98" i="19"/>
  <c r="BH98" i="19" s="1"/>
  <c r="BB98" i="19"/>
  <c r="BG97" i="19"/>
  <c r="BH97" i="19" s="1"/>
  <c r="BB97" i="19"/>
  <c r="BG96" i="19"/>
  <c r="BH96" i="19" s="1"/>
  <c r="BB96" i="19"/>
  <c r="BG95" i="19"/>
  <c r="BB95" i="19"/>
  <c r="BC95" i="19" s="1"/>
  <c r="BG94" i="19"/>
  <c r="BB94" i="19"/>
  <c r="BG93" i="19"/>
  <c r="BB93" i="19"/>
  <c r="BG92" i="19"/>
  <c r="BB92" i="19"/>
  <c r="BG91" i="19"/>
  <c r="BB91" i="19"/>
  <c r="BG90" i="19"/>
  <c r="BH90" i="19" s="1"/>
  <c r="BB90" i="19"/>
  <c r="BG89" i="19"/>
  <c r="BB89" i="19"/>
  <c r="BG88" i="19"/>
  <c r="BH88" i="19" s="1"/>
  <c r="BB88" i="19"/>
  <c r="BG87" i="19"/>
  <c r="BB87" i="19"/>
  <c r="BG86" i="19"/>
  <c r="BB86" i="19"/>
  <c r="BG85" i="19"/>
  <c r="BB85" i="19"/>
  <c r="BG84" i="19"/>
  <c r="BB84" i="19"/>
  <c r="BG83" i="19"/>
  <c r="BB83" i="19"/>
  <c r="BG82" i="19"/>
  <c r="BB82" i="19"/>
  <c r="BG81" i="19"/>
  <c r="BB81" i="19"/>
  <c r="BG80" i="19"/>
  <c r="BH80" i="19" s="1"/>
  <c r="BB80" i="19"/>
  <c r="BG79" i="19"/>
  <c r="BB79" i="19"/>
  <c r="BG78" i="19"/>
  <c r="BB78" i="19"/>
  <c r="BG77" i="19"/>
  <c r="BB77" i="19"/>
  <c r="BG76" i="19"/>
  <c r="BB76" i="19"/>
  <c r="BG75" i="19"/>
  <c r="BB75" i="19"/>
  <c r="BG74" i="19"/>
  <c r="BH74" i="19" s="1"/>
  <c r="BB74" i="19"/>
  <c r="BG73" i="19"/>
  <c r="BB73" i="19"/>
  <c r="BG72" i="19"/>
  <c r="BH72" i="19" s="1"/>
  <c r="BB72" i="19"/>
  <c r="BG71" i="19"/>
  <c r="BB71" i="19"/>
  <c r="BG70" i="19"/>
  <c r="BB70" i="19"/>
  <c r="BG69" i="19"/>
  <c r="BB69" i="19"/>
  <c r="BG68" i="19"/>
  <c r="BB68" i="19"/>
  <c r="BG67" i="19"/>
  <c r="BB67" i="19"/>
  <c r="BG66" i="19"/>
  <c r="BB66" i="19"/>
  <c r="BG65" i="19"/>
  <c r="BB65" i="19"/>
  <c r="BG64" i="19"/>
  <c r="BH64" i="19" s="1"/>
  <c r="BB64" i="19"/>
  <c r="BG63" i="19"/>
  <c r="BB63" i="19"/>
  <c r="BC63" i="19" s="1"/>
  <c r="BG62" i="19"/>
  <c r="BB62" i="19"/>
  <c r="BC62" i="19" s="1"/>
  <c r="BG61" i="19"/>
  <c r="BB61" i="19"/>
  <c r="BC61" i="19" s="1"/>
  <c r="BG60" i="19"/>
  <c r="BB60" i="19"/>
  <c r="BG59" i="19"/>
  <c r="BB59" i="19"/>
  <c r="BC59" i="19" s="1"/>
  <c r="BG58" i="19"/>
  <c r="BB58" i="19"/>
  <c r="BC58" i="19" s="1"/>
  <c r="BG57" i="19"/>
  <c r="BB57" i="19"/>
  <c r="BC57" i="19" s="1"/>
  <c r="BG56" i="19"/>
  <c r="BB56" i="19"/>
  <c r="BG55" i="19"/>
  <c r="BB55" i="19"/>
  <c r="BC55" i="19" s="1"/>
  <c r="BG54" i="19"/>
  <c r="BB54" i="19"/>
  <c r="BC54" i="19" s="1"/>
  <c r="BG53" i="19"/>
  <c r="BB53" i="19"/>
  <c r="BC53" i="19" s="1"/>
  <c r="BG52" i="19"/>
  <c r="BB52" i="19"/>
  <c r="BG51" i="19"/>
  <c r="BB51" i="19"/>
  <c r="BC51" i="19" s="1"/>
  <c r="BG50" i="19"/>
  <c r="BB50" i="19"/>
  <c r="BC50" i="19" s="1"/>
  <c r="BG49" i="19"/>
  <c r="BB49" i="19"/>
  <c r="BC49" i="19" s="1"/>
  <c r="BG48" i="19"/>
  <c r="BB48" i="19"/>
  <c r="BG47" i="19"/>
  <c r="BB47" i="19"/>
  <c r="BC47" i="19" s="1"/>
  <c r="BG46" i="19"/>
  <c r="BB46" i="19"/>
  <c r="BC46" i="19" s="1"/>
  <c r="BG45" i="19"/>
  <c r="BB45" i="19"/>
  <c r="BC45" i="19" s="1"/>
  <c r="BG44" i="19"/>
  <c r="BB44" i="19"/>
  <c r="BG43" i="19"/>
  <c r="BB43" i="19"/>
  <c r="BC43" i="19" s="1"/>
  <c r="BG42" i="19"/>
  <c r="BB42" i="19"/>
  <c r="BC42" i="19" s="1"/>
  <c r="BG41" i="19"/>
  <c r="BB41" i="19"/>
  <c r="BC41" i="19" s="1"/>
  <c r="BG40" i="19"/>
  <c r="BB40" i="19"/>
  <c r="BG39" i="19"/>
  <c r="BB39" i="19"/>
  <c r="BC39" i="19" s="1"/>
  <c r="BG38" i="19"/>
  <c r="BB38" i="19"/>
  <c r="BC38" i="19" s="1"/>
  <c r="BG37" i="19"/>
  <c r="BB37" i="19"/>
  <c r="BC37" i="19" s="1"/>
  <c r="BG36" i="19"/>
  <c r="BB36" i="19"/>
  <c r="BG35" i="19"/>
  <c r="BB35" i="19"/>
  <c r="BC35" i="19" s="1"/>
  <c r="BG34" i="19"/>
  <c r="BB34" i="19"/>
  <c r="BC34" i="19" s="1"/>
  <c r="BG33" i="19"/>
  <c r="BB33" i="19"/>
  <c r="BC33" i="19" s="1"/>
  <c r="BG32" i="19"/>
  <c r="BB32" i="19"/>
  <c r="BG31" i="19"/>
  <c r="BB31" i="19"/>
  <c r="BC31" i="19" s="1"/>
  <c r="BG30" i="19"/>
  <c r="BB30" i="19"/>
  <c r="BC30" i="19" s="1"/>
  <c r="BG29" i="19"/>
  <c r="BB29" i="19"/>
  <c r="BC29" i="19" s="1"/>
  <c r="BG28" i="19"/>
  <c r="BB28" i="19"/>
  <c r="BG27" i="19"/>
  <c r="BB27" i="19"/>
  <c r="BC27" i="19" s="1"/>
  <c r="BG26" i="19"/>
  <c r="BB26" i="19"/>
  <c r="BC26" i="19" s="1"/>
  <c r="BG25" i="19"/>
  <c r="BB25" i="19"/>
  <c r="BC25" i="19" s="1"/>
  <c r="BG24" i="19"/>
  <c r="BB24" i="19"/>
  <c r="BG23" i="19"/>
  <c r="BB23" i="19"/>
  <c r="BC23" i="19" s="1"/>
  <c r="BG22" i="19"/>
  <c r="BB22" i="19"/>
  <c r="BC22" i="19" s="1"/>
  <c r="BG21" i="19"/>
  <c r="BB21" i="19"/>
  <c r="BC21" i="19" s="1"/>
  <c r="BG20" i="19"/>
  <c r="BB20" i="19"/>
  <c r="BG19" i="19"/>
  <c r="BB19" i="19"/>
  <c r="BC19" i="19" s="1"/>
  <c r="BG18" i="19"/>
  <c r="BB18" i="19"/>
  <c r="BC18" i="19" s="1"/>
  <c r="BG17" i="19"/>
  <c r="BB17" i="19"/>
  <c r="BC17" i="19" s="1"/>
  <c r="BG16" i="19"/>
  <c r="BB16" i="19"/>
  <c r="BG15" i="19"/>
  <c r="BB15" i="19"/>
  <c r="BC15" i="19" s="1"/>
  <c r="BG14" i="19"/>
  <c r="BB14" i="19"/>
  <c r="BC14" i="19" s="1"/>
  <c r="BG13" i="19"/>
  <c r="BB13" i="19"/>
  <c r="BC13" i="19" s="1"/>
  <c r="BG12" i="19"/>
  <c r="BB12" i="19"/>
  <c r="BG11" i="19"/>
  <c r="BB11" i="19"/>
  <c r="BC11" i="19" s="1"/>
  <c r="BG10" i="19"/>
  <c r="BB10" i="19"/>
  <c r="BC10" i="19" s="1"/>
  <c r="BG9" i="19"/>
  <c r="BB9" i="19"/>
  <c r="BC9" i="19" s="1"/>
  <c r="BG8" i="19"/>
  <c r="BB8" i="19"/>
  <c r="BG7" i="19"/>
  <c r="BB7" i="19"/>
  <c r="BC7" i="19" s="1"/>
  <c r="BG6" i="19"/>
  <c r="BB6" i="19"/>
  <c r="BC6" i="19" s="1"/>
  <c r="BG5" i="19"/>
  <c r="BB5" i="19"/>
  <c r="BC5" i="19" s="1"/>
  <c r="BG4" i="19"/>
  <c r="BB4" i="19"/>
  <c r="BG3" i="19"/>
  <c r="BB3" i="19"/>
  <c r="BC3" i="19" s="1"/>
  <c r="BG2" i="19"/>
  <c r="BB2" i="19"/>
  <c r="BC2" i="19" s="1"/>
  <c r="BG1" i="19"/>
  <c r="BB1" i="19"/>
  <c r="BC1" i="19" s="1"/>
  <c r="BA289" i="19"/>
  <c r="BA290" i="19"/>
  <c r="BA291" i="19"/>
  <c r="BA292" i="19"/>
  <c r="BA293" i="19"/>
  <c r="BA294" i="19"/>
  <c r="BA295" i="19"/>
  <c r="BA296" i="19"/>
  <c r="BA297" i="19"/>
  <c r="BA298" i="19"/>
  <c r="BA299" i="19"/>
  <c r="BA300" i="19"/>
  <c r="BA257" i="19"/>
  <c r="BA258" i="19"/>
  <c r="BA259" i="19"/>
  <c r="BA260" i="19"/>
  <c r="BA261" i="19"/>
  <c r="BA262" i="19"/>
  <c r="BA263" i="19"/>
  <c r="BA264" i="19"/>
  <c r="BA265" i="19"/>
  <c r="BA266" i="19"/>
  <c r="BA267" i="19"/>
  <c r="BA268" i="19"/>
  <c r="BA269" i="19"/>
  <c r="BA270" i="19"/>
  <c r="BA271" i="19"/>
  <c r="BA272" i="19"/>
  <c r="BA273" i="19"/>
  <c r="BA274" i="19"/>
  <c r="BA275" i="19"/>
  <c r="BA276" i="19"/>
  <c r="BA277" i="19"/>
  <c r="BA278" i="19"/>
  <c r="BA279" i="19"/>
  <c r="BA280" i="19"/>
  <c r="BA281" i="19"/>
  <c r="BA282" i="19"/>
  <c r="BA283" i="19"/>
  <c r="BA284" i="19"/>
  <c r="BA285" i="19"/>
  <c r="BA286" i="19"/>
  <c r="BA287" i="19"/>
  <c r="BA288" i="19"/>
  <c r="BA225" i="19"/>
  <c r="BA226" i="19"/>
  <c r="BA227" i="19"/>
  <c r="BA228" i="19"/>
  <c r="BA229" i="19"/>
  <c r="BA230" i="19"/>
  <c r="BA231" i="19"/>
  <c r="BA232" i="19"/>
  <c r="BA233" i="19"/>
  <c r="BA234" i="19"/>
  <c r="BA235" i="19"/>
  <c r="BA236" i="19"/>
  <c r="BA237" i="19"/>
  <c r="BA238" i="19"/>
  <c r="BA239" i="19"/>
  <c r="BA240" i="19"/>
  <c r="BA241" i="19"/>
  <c r="BA242" i="19"/>
  <c r="BA243" i="19"/>
  <c r="BA244" i="19"/>
  <c r="BA245" i="19"/>
  <c r="BA246" i="19"/>
  <c r="BA247" i="19"/>
  <c r="BA248" i="19"/>
  <c r="BA249" i="19"/>
  <c r="BA250" i="19"/>
  <c r="BA251" i="19"/>
  <c r="BA252" i="19"/>
  <c r="BA253" i="19"/>
  <c r="BA254" i="19"/>
  <c r="BA255" i="19"/>
  <c r="BA256" i="19"/>
  <c r="BA193" i="19"/>
  <c r="BF193" i="19"/>
  <c r="BA194" i="19"/>
  <c r="BF194" i="19"/>
  <c r="BA195" i="19"/>
  <c r="BF195" i="19"/>
  <c r="BA196" i="19"/>
  <c r="BF196" i="19"/>
  <c r="BA197" i="19"/>
  <c r="BF197" i="19"/>
  <c r="BA198" i="19"/>
  <c r="BF198" i="19"/>
  <c r="BA199" i="19"/>
  <c r="BF199" i="19"/>
  <c r="BA200" i="19"/>
  <c r="BF200" i="19"/>
  <c r="BA201" i="19"/>
  <c r="BA202" i="19"/>
  <c r="BA203" i="19"/>
  <c r="BA204" i="19"/>
  <c r="BA205" i="19"/>
  <c r="BA206" i="19"/>
  <c r="BA207" i="19"/>
  <c r="BA208" i="19"/>
  <c r="BA209" i="19"/>
  <c r="BA210" i="19"/>
  <c r="BA211" i="19"/>
  <c r="BA212" i="19"/>
  <c r="BA213" i="19"/>
  <c r="BA214" i="19"/>
  <c r="BA215" i="19"/>
  <c r="BA216" i="19"/>
  <c r="BA217" i="19"/>
  <c r="BA218" i="19"/>
  <c r="BA219" i="19"/>
  <c r="BA220" i="19"/>
  <c r="BA221" i="19"/>
  <c r="BA222" i="19"/>
  <c r="BA223" i="19"/>
  <c r="BA224" i="19"/>
  <c r="BA161" i="19"/>
  <c r="BF161" i="19"/>
  <c r="BA162" i="19"/>
  <c r="BF162" i="19"/>
  <c r="BA163" i="19"/>
  <c r="BF163" i="19"/>
  <c r="BA164" i="19"/>
  <c r="BF164" i="19"/>
  <c r="BA165" i="19"/>
  <c r="BF165" i="19"/>
  <c r="BA166" i="19"/>
  <c r="BF166" i="19"/>
  <c r="BA167" i="19"/>
  <c r="BF167" i="19"/>
  <c r="BA168" i="19"/>
  <c r="BF168" i="19"/>
  <c r="BA169" i="19"/>
  <c r="BF169" i="19"/>
  <c r="BA170" i="19"/>
  <c r="BF170" i="19"/>
  <c r="BA171" i="19"/>
  <c r="BF171" i="19"/>
  <c r="BA172" i="19"/>
  <c r="BF172" i="19"/>
  <c r="BA173" i="19"/>
  <c r="BF173" i="19"/>
  <c r="BA174" i="19"/>
  <c r="BF174" i="19"/>
  <c r="BA175" i="19"/>
  <c r="BF175" i="19"/>
  <c r="BA176" i="19"/>
  <c r="BF176" i="19"/>
  <c r="BA177" i="19"/>
  <c r="BF177" i="19"/>
  <c r="BA178" i="19"/>
  <c r="BF178" i="19"/>
  <c r="BA179" i="19"/>
  <c r="BF179" i="19"/>
  <c r="BA180" i="19"/>
  <c r="BF180" i="19"/>
  <c r="BA181" i="19"/>
  <c r="BF181" i="19"/>
  <c r="BA182" i="19"/>
  <c r="BF182" i="19"/>
  <c r="BA183" i="19"/>
  <c r="BF183" i="19"/>
  <c r="BA184" i="19"/>
  <c r="BF184" i="19"/>
  <c r="BA185" i="19"/>
  <c r="BF185" i="19"/>
  <c r="BA186" i="19"/>
  <c r="BF186" i="19"/>
  <c r="BA187" i="19"/>
  <c r="BF187" i="19"/>
  <c r="BA188" i="19"/>
  <c r="BF188" i="19"/>
  <c r="BA189" i="19"/>
  <c r="BF189" i="19"/>
  <c r="BA190" i="19"/>
  <c r="BF190" i="19"/>
  <c r="BA191" i="19"/>
  <c r="BF191" i="19"/>
  <c r="BA192" i="19"/>
  <c r="BF192" i="19"/>
  <c r="BA129" i="19"/>
  <c r="BF129" i="19"/>
  <c r="BA130" i="19"/>
  <c r="BF130" i="19"/>
  <c r="BA131" i="19"/>
  <c r="BF131" i="19"/>
  <c r="BA132" i="19"/>
  <c r="BF132" i="19"/>
  <c r="BA133" i="19"/>
  <c r="BF133" i="19"/>
  <c r="BA134" i="19"/>
  <c r="BF134" i="19"/>
  <c r="BA135" i="19"/>
  <c r="BF135" i="19"/>
  <c r="BA136" i="19"/>
  <c r="BF136" i="19"/>
  <c r="BA137" i="19"/>
  <c r="BF137" i="19"/>
  <c r="BA138" i="19"/>
  <c r="BF138" i="19"/>
  <c r="BA139" i="19"/>
  <c r="BF139" i="19"/>
  <c r="BA140" i="19"/>
  <c r="BF140" i="19"/>
  <c r="BA141" i="19"/>
  <c r="BF141" i="19"/>
  <c r="BA142" i="19"/>
  <c r="BF142" i="19"/>
  <c r="BA143" i="19"/>
  <c r="BF143" i="19"/>
  <c r="BA144" i="19"/>
  <c r="BF144" i="19"/>
  <c r="BA145" i="19"/>
  <c r="BF145" i="19"/>
  <c r="BA146" i="19"/>
  <c r="BF146" i="19"/>
  <c r="BA147" i="19"/>
  <c r="BF147" i="19"/>
  <c r="BA148" i="19"/>
  <c r="BF148" i="19"/>
  <c r="BA149" i="19"/>
  <c r="BF149" i="19"/>
  <c r="BA150" i="19"/>
  <c r="BF150" i="19"/>
  <c r="BA151" i="19"/>
  <c r="BF151" i="19"/>
  <c r="BA152" i="19"/>
  <c r="BF152" i="19"/>
  <c r="BA153" i="19"/>
  <c r="BF153" i="19"/>
  <c r="BA154" i="19"/>
  <c r="BF154" i="19"/>
  <c r="BA155" i="19"/>
  <c r="BF155" i="19"/>
  <c r="BA156" i="19"/>
  <c r="BF156" i="19"/>
  <c r="BA157" i="19"/>
  <c r="BF157" i="19"/>
  <c r="BA158" i="19"/>
  <c r="BF158" i="19"/>
  <c r="BA159" i="19"/>
  <c r="BF159" i="19"/>
  <c r="BA160" i="19"/>
  <c r="BF160" i="19"/>
  <c r="BA97" i="19"/>
  <c r="BF97" i="19"/>
  <c r="BA98" i="19"/>
  <c r="BF98" i="19"/>
  <c r="BA99" i="19"/>
  <c r="BF99" i="19"/>
  <c r="BA100" i="19"/>
  <c r="BF100" i="19"/>
  <c r="BA101" i="19"/>
  <c r="BF101" i="19"/>
  <c r="BA102" i="19"/>
  <c r="BF102" i="19"/>
  <c r="BA103" i="19"/>
  <c r="BF103" i="19"/>
  <c r="BA104" i="19"/>
  <c r="BF104" i="19"/>
  <c r="BA105" i="19"/>
  <c r="BF105" i="19"/>
  <c r="BA106" i="19"/>
  <c r="BF106" i="19"/>
  <c r="BA107" i="19"/>
  <c r="BF107" i="19"/>
  <c r="BA108" i="19"/>
  <c r="BF108" i="19"/>
  <c r="BA109" i="19"/>
  <c r="BF109" i="19"/>
  <c r="BA110" i="19"/>
  <c r="BF110" i="19"/>
  <c r="BA111" i="19"/>
  <c r="BF111" i="19"/>
  <c r="BA112" i="19"/>
  <c r="BF112" i="19"/>
  <c r="BA113" i="19"/>
  <c r="BF113" i="19"/>
  <c r="BA114" i="19"/>
  <c r="BF114" i="19"/>
  <c r="BA115" i="19"/>
  <c r="BF115" i="19"/>
  <c r="BA116" i="19"/>
  <c r="BF116" i="19"/>
  <c r="BA117" i="19"/>
  <c r="BF117" i="19"/>
  <c r="BA118" i="19"/>
  <c r="BF118" i="19"/>
  <c r="BA119" i="19"/>
  <c r="BF119" i="19"/>
  <c r="BA120" i="19"/>
  <c r="BF120" i="19"/>
  <c r="BA121" i="19"/>
  <c r="BF121" i="19"/>
  <c r="BA122" i="19"/>
  <c r="BF122" i="19"/>
  <c r="BA123" i="19"/>
  <c r="BF123" i="19"/>
  <c r="BA124" i="19"/>
  <c r="BF124" i="19"/>
  <c r="BA125" i="19"/>
  <c r="BF125" i="19"/>
  <c r="BA126" i="19"/>
  <c r="BF126" i="19"/>
  <c r="BA127" i="19"/>
  <c r="BF127" i="19"/>
  <c r="BA128" i="19"/>
  <c r="BF128" i="19"/>
  <c r="BA65" i="19"/>
  <c r="BF65" i="19"/>
  <c r="BA66" i="19"/>
  <c r="BF66" i="19"/>
  <c r="BA67" i="19"/>
  <c r="BF67" i="19"/>
  <c r="BA68" i="19"/>
  <c r="BF68" i="19"/>
  <c r="BA69" i="19"/>
  <c r="BF69" i="19"/>
  <c r="BA70" i="19"/>
  <c r="BF70" i="19"/>
  <c r="BA71" i="19"/>
  <c r="BF71" i="19"/>
  <c r="BA72" i="19"/>
  <c r="BF72" i="19"/>
  <c r="BA73" i="19"/>
  <c r="BF73" i="19"/>
  <c r="BA74" i="19"/>
  <c r="BF74" i="19"/>
  <c r="BA75" i="19"/>
  <c r="BF75" i="19"/>
  <c r="BA76" i="19"/>
  <c r="BF76" i="19"/>
  <c r="BA77" i="19"/>
  <c r="BF77" i="19"/>
  <c r="BA78" i="19"/>
  <c r="BF78" i="19"/>
  <c r="BA79" i="19"/>
  <c r="BF79" i="19"/>
  <c r="BA80" i="19"/>
  <c r="BF80" i="19"/>
  <c r="BA81" i="19"/>
  <c r="BF81" i="19"/>
  <c r="BA82" i="19"/>
  <c r="BF82" i="19"/>
  <c r="BA83" i="19"/>
  <c r="BF83" i="19"/>
  <c r="BA84" i="19"/>
  <c r="BF84" i="19"/>
  <c r="BA85" i="19"/>
  <c r="BF85" i="19"/>
  <c r="BA86" i="19"/>
  <c r="BF86" i="19"/>
  <c r="BA87" i="19"/>
  <c r="BF87" i="19"/>
  <c r="BA88" i="19"/>
  <c r="BF88" i="19"/>
  <c r="BA89" i="19"/>
  <c r="BF89" i="19"/>
  <c r="BA90" i="19"/>
  <c r="BF90" i="19"/>
  <c r="BA91" i="19"/>
  <c r="BF91" i="19"/>
  <c r="BA92" i="19"/>
  <c r="BF92" i="19"/>
  <c r="BA93" i="19"/>
  <c r="BF93" i="19"/>
  <c r="BA94" i="19"/>
  <c r="BF94" i="19"/>
  <c r="BA95" i="19"/>
  <c r="BF95" i="19"/>
  <c r="BA96" i="19"/>
  <c r="BF96" i="19"/>
  <c r="BA33" i="19"/>
  <c r="BF33" i="19"/>
  <c r="BA34" i="19"/>
  <c r="BF34" i="19"/>
  <c r="BA35" i="19"/>
  <c r="BF35" i="19"/>
  <c r="BA36" i="19"/>
  <c r="BF36" i="19"/>
  <c r="BA37" i="19"/>
  <c r="BF37" i="19"/>
  <c r="BA38" i="19"/>
  <c r="BF38" i="19"/>
  <c r="BA39" i="19"/>
  <c r="BF39" i="19"/>
  <c r="BA40" i="19"/>
  <c r="BF40" i="19"/>
  <c r="BA41" i="19"/>
  <c r="BF41" i="19"/>
  <c r="BA42" i="19"/>
  <c r="BF42" i="19"/>
  <c r="BA43" i="19"/>
  <c r="BF43" i="19"/>
  <c r="BA44" i="19"/>
  <c r="BF44" i="19"/>
  <c r="BA45" i="19"/>
  <c r="BF45" i="19"/>
  <c r="BA46" i="19"/>
  <c r="BF46" i="19"/>
  <c r="BA47" i="19"/>
  <c r="BF47" i="19"/>
  <c r="BA48" i="19"/>
  <c r="BF48" i="19"/>
  <c r="BA49" i="19"/>
  <c r="BF49" i="19"/>
  <c r="BA50" i="19"/>
  <c r="BF50" i="19"/>
  <c r="BA51" i="19"/>
  <c r="BF51" i="19"/>
  <c r="BA52" i="19"/>
  <c r="BF52" i="19"/>
  <c r="BA53" i="19"/>
  <c r="BF53" i="19"/>
  <c r="BA54" i="19"/>
  <c r="BF54" i="19"/>
  <c r="BA55" i="19"/>
  <c r="BF55" i="19"/>
  <c r="BA56" i="19"/>
  <c r="BF56" i="19"/>
  <c r="BA57" i="19"/>
  <c r="BF57" i="19"/>
  <c r="BA58" i="19"/>
  <c r="BF58" i="19"/>
  <c r="BA59" i="19"/>
  <c r="BF59" i="19"/>
  <c r="BA60" i="19"/>
  <c r="BF60" i="19"/>
  <c r="BA61" i="19"/>
  <c r="BF61" i="19"/>
  <c r="BA62" i="19"/>
  <c r="BF62" i="19"/>
  <c r="BA63" i="19"/>
  <c r="BF63" i="19"/>
  <c r="BA64" i="19"/>
  <c r="BF64" i="19"/>
  <c r="BA1" i="19"/>
  <c r="BF1" i="19"/>
  <c r="BA2" i="19"/>
  <c r="BF2" i="19"/>
  <c r="BA3" i="19"/>
  <c r="BF3" i="19"/>
  <c r="BA4" i="19"/>
  <c r="BF4" i="19"/>
  <c r="BA5" i="19"/>
  <c r="BF5" i="19"/>
  <c r="BA6" i="19"/>
  <c r="BF6" i="19"/>
  <c r="BA7" i="19"/>
  <c r="BF7" i="19"/>
  <c r="BA8" i="19"/>
  <c r="BF8" i="19"/>
  <c r="BA9" i="19"/>
  <c r="BF9" i="19"/>
  <c r="BA10" i="19"/>
  <c r="BF10" i="19"/>
  <c r="BA11" i="19"/>
  <c r="BF11" i="19"/>
  <c r="BA12" i="19"/>
  <c r="BF12" i="19"/>
  <c r="BA13" i="19"/>
  <c r="BF13" i="19"/>
  <c r="BA14" i="19"/>
  <c r="BF14" i="19"/>
  <c r="BA15" i="19"/>
  <c r="BF15" i="19"/>
  <c r="BA16" i="19"/>
  <c r="BF16" i="19"/>
  <c r="BA17" i="19"/>
  <c r="BF17" i="19"/>
  <c r="BA18" i="19"/>
  <c r="BF18" i="19"/>
  <c r="BA19" i="19"/>
  <c r="BF19" i="19"/>
  <c r="BA20" i="19"/>
  <c r="BF20" i="19"/>
  <c r="BA21" i="19"/>
  <c r="BF21" i="19"/>
  <c r="BA22" i="19"/>
  <c r="BF22" i="19"/>
  <c r="BA23" i="19"/>
  <c r="BF23" i="19"/>
  <c r="BA24" i="19"/>
  <c r="BF24" i="19"/>
  <c r="BA25" i="19"/>
  <c r="BF25" i="19"/>
  <c r="BA26" i="19"/>
  <c r="BF26" i="19"/>
  <c r="BA27" i="19"/>
  <c r="BF27" i="19"/>
  <c r="BA28" i="19"/>
  <c r="BF28" i="19"/>
  <c r="BA29" i="19"/>
  <c r="BF29" i="19"/>
  <c r="BA30" i="19"/>
  <c r="BF30" i="19"/>
  <c r="BA31" i="19"/>
  <c r="BF31" i="19"/>
  <c r="BA32" i="19"/>
  <c r="BF32" i="19"/>
  <c r="BB296" i="27" l="1"/>
  <c r="BG116" i="27"/>
  <c r="BG112" i="27"/>
  <c r="BG108" i="27"/>
  <c r="BG100" i="27"/>
  <c r="BB224" i="27"/>
  <c r="BB216" i="27"/>
  <c r="BB208" i="27"/>
  <c r="BB256" i="27"/>
  <c r="BB248" i="27"/>
  <c r="BB240" i="27"/>
  <c r="BB232" i="27"/>
  <c r="BB288" i="27"/>
  <c r="BB280" i="27"/>
  <c r="BB272" i="27"/>
  <c r="BB264" i="27"/>
  <c r="BB12" i="27"/>
  <c r="BB8" i="27"/>
  <c r="BB4" i="27"/>
  <c r="BG55" i="27"/>
  <c r="BG51" i="27"/>
  <c r="BB297" i="23"/>
  <c r="BB289" i="23"/>
  <c r="BB93" i="23"/>
  <c r="BB89" i="23"/>
  <c r="BB85" i="23"/>
  <c r="BB125" i="23"/>
  <c r="BB157" i="23"/>
  <c r="BB153" i="23"/>
  <c r="BB149" i="23"/>
  <c r="BB145" i="23"/>
  <c r="BB141" i="23"/>
  <c r="BB137" i="23"/>
  <c r="BB133" i="23"/>
  <c r="BB129" i="23"/>
  <c r="BB189" i="23"/>
  <c r="BB169" i="23"/>
  <c r="BB165" i="23"/>
  <c r="BB161" i="23"/>
  <c r="BB217" i="23"/>
  <c r="BB209" i="23"/>
  <c r="BB201" i="23"/>
  <c r="BB197" i="23"/>
  <c r="BB193" i="23"/>
  <c r="BB249" i="23"/>
  <c r="BB241" i="23"/>
  <c r="BB233" i="23"/>
  <c r="BB225" i="23"/>
  <c r="BB281" i="23"/>
  <c r="BB273" i="23"/>
  <c r="BB265" i="23"/>
  <c r="BB257" i="23"/>
  <c r="BG193" i="27"/>
  <c r="BB95" i="27"/>
  <c r="BB91" i="27"/>
  <c r="BB87" i="27"/>
  <c r="BB83" i="27"/>
  <c r="BB79" i="27"/>
  <c r="BB75" i="27"/>
  <c r="BB107" i="27"/>
  <c r="BB103" i="27"/>
  <c r="BB99" i="27"/>
  <c r="BB294" i="27"/>
  <c r="BH189" i="19"/>
  <c r="BB96" i="27"/>
  <c r="BB92" i="27"/>
  <c r="BB88" i="27"/>
  <c r="BB84" i="27"/>
  <c r="BB80" i="27"/>
  <c r="BB72" i="27"/>
  <c r="BB128" i="27"/>
  <c r="BB124" i="27"/>
  <c r="BB160" i="27"/>
  <c r="BB156" i="27"/>
  <c r="BB152" i="27"/>
  <c r="BB148" i="27"/>
  <c r="BB144" i="27"/>
  <c r="BB140" i="27"/>
  <c r="BB136" i="27"/>
  <c r="BB132" i="27"/>
  <c r="BB192" i="27"/>
  <c r="BB188" i="27"/>
  <c r="BB168" i="27"/>
  <c r="BB164" i="27"/>
  <c r="BB223" i="27"/>
  <c r="BB215" i="27"/>
  <c r="BB207" i="27"/>
  <c r="BB200" i="27"/>
  <c r="BB196" i="27"/>
  <c r="BB255" i="27"/>
  <c r="BB247" i="27"/>
  <c r="BB239" i="27"/>
  <c r="BB231" i="27"/>
  <c r="BB287" i="27"/>
  <c r="BB279" i="27"/>
  <c r="BB271" i="27"/>
  <c r="BB263" i="27"/>
  <c r="BH173" i="19"/>
  <c r="BH181" i="19"/>
  <c r="BC296" i="19"/>
  <c r="BC300" i="19"/>
  <c r="BC292" i="19"/>
  <c r="BG29" i="23"/>
  <c r="BG25" i="23"/>
  <c r="BG21" i="23"/>
  <c r="BG17" i="23"/>
  <c r="BG13" i="23"/>
  <c r="BG9" i="23"/>
  <c r="BG5" i="23"/>
  <c r="BG1" i="23"/>
  <c r="BG61" i="23"/>
  <c r="BG57" i="23"/>
  <c r="BG53" i="23"/>
  <c r="BG49" i="23"/>
  <c r="BG45" i="23"/>
  <c r="BG41" i="23"/>
  <c r="BG37" i="23"/>
  <c r="BG33" i="23"/>
  <c r="BG77" i="23"/>
  <c r="BG73" i="23"/>
  <c r="BG65" i="23"/>
  <c r="BG96" i="23"/>
  <c r="BG92" i="23"/>
  <c r="BG120" i="23"/>
  <c r="BG116" i="23"/>
  <c r="BG112" i="23"/>
  <c r="BG108" i="23"/>
  <c r="BG104" i="23"/>
  <c r="BG100" i="23"/>
  <c r="BG160" i="23"/>
  <c r="BG156" i="23"/>
  <c r="BG152" i="23"/>
  <c r="BG148" i="23"/>
  <c r="BG144" i="23"/>
  <c r="BG140" i="23"/>
  <c r="BG184" i="23"/>
  <c r="BG180" i="23"/>
  <c r="BG176" i="23"/>
  <c r="BG172" i="23"/>
  <c r="BG168" i="23"/>
  <c r="BG164" i="23"/>
  <c r="BB224" i="23"/>
  <c r="BB216" i="23"/>
  <c r="BB208" i="23"/>
  <c r="BB256" i="23"/>
  <c r="BB248" i="23"/>
  <c r="BB240" i="23"/>
  <c r="BB232" i="23"/>
  <c r="BB288" i="23"/>
  <c r="BB280" i="23"/>
  <c r="BB272" i="23"/>
  <c r="BB264" i="23"/>
  <c r="BG24" i="27"/>
  <c r="BG20" i="27"/>
  <c r="BG16" i="27"/>
  <c r="BG8" i="27"/>
  <c r="BG4" i="27"/>
  <c r="BB28" i="27"/>
  <c r="BB64" i="27"/>
  <c r="BB56" i="27"/>
  <c r="BB52" i="27"/>
  <c r="BB48" i="27"/>
  <c r="BB44" i="27"/>
  <c r="BG19" i="27"/>
  <c r="BG11" i="27"/>
  <c r="BG79" i="27"/>
  <c r="BG75" i="27"/>
  <c r="BG71" i="27"/>
  <c r="BG64" i="27"/>
  <c r="BG56" i="27"/>
  <c r="BG52" i="27"/>
  <c r="BG48" i="27"/>
  <c r="BG88" i="27"/>
  <c r="BG84" i="27"/>
  <c r="BG80" i="27"/>
  <c r="BG76" i="27"/>
  <c r="BG72" i="27"/>
  <c r="BC122" i="19"/>
  <c r="BC118" i="19"/>
  <c r="BC114" i="19"/>
  <c r="BC110" i="19"/>
  <c r="BC154" i="19"/>
  <c r="BC150" i="19"/>
  <c r="BC146" i="19"/>
  <c r="BC138" i="19"/>
  <c r="BC134" i="19"/>
  <c r="BC130" i="19"/>
  <c r="BB296" i="23"/>
  <c r="BG27" i="27"/>
  <c r="BG35" i="27"/>
  <c r="BG119" i="27"/>
  <c r="BG115" i="27"/>
  <c r="BG111" i="27"/>
  <c r="BG183" i="27"/>
  <c r="BG179" i="27"/>
  <c r="BG175" i="27"/>
  <c r="BB222" i="27"/>
  <c r="BB214" i="27"/>
  <c r="BB230" i="27"/>
  <c r="BB286" i="27"/>
  <c r="BB278" i="27"/>
  <c r="BB127" i="27"/>
  <c r="BB159" i="27"/>
  <c r="BB155" i="27"/>
  <c r="BB151" i="27"/>
  <c r="BB147" i="27"/>
  <c r="BB143" i="27"/>
  <c r="BB139" i="27"/>
  <c r="BB135" i="27"/>
  <c r="BB131" i="27"/>
  <c r="BB187" i="27"/>
  <c r="BB183" i="27"/>
  <c r="BB179" i="27"/>
  <c r="BB175" i="27"/>
  <c r="BB171" i="27"/>
  <c r="BB167" i="27"/>
  <c r="BB163" i="27"/>
  <c r="BB18" i="27"/>
  <c r="BB14" i="27"/>
  <c r="BB2" i="27"/>
  <c r="BG31" i="23"/>
  <c r="BG27" i="23"/>
  <c r="BG23" i="23"/>
  <c r="BG19" i="23"/>
  <c r="BG15" i="23"/>
  <c r="BG11" i="23"/>
  <c r="BG7" i="23"/>
  <c r="BG3" i="23"/>
  <c r="BG63" i="23"/>
  <c r="BG59" i="23"/>
  <c r="BG55" i="23"/>
  <c r="BG51" i="23"/>
  <c r="BG47" i="23"/>
  <c r="BG43" i="23"/>
  <c r="BG39" i="23"/>
  <c r="BG35" i="23"/>
  <c r="BG75" i="23"/>
  <c r="BG71" i="23"/>
  <c r="BG67" i="23"/>
  <c r="BG32" i="27"/>
  <c r="BG40" i="27"/>
  <c r="BG36" i="27"/>
  <c r="BG96" i="27"/>
  <c r="BG128" i="27"/>
  <c r="BG124" i="27"/>
  <c r="BG160" i="27"/>
  <c r="BG156" i="27"/>
  <c r="BG152" i="27"/>
  <c r="BG148" i="27"/>
  <c r="BG144" i="27"/>
  <c r="BG140" i="27"/>
  <c r="BG136" i="27"/>
  <c r="BG132" i="27"/>
  <c r="BG184" i="27"/>
  <c r="BG180" i="27"/>
  <c r="BG176" i="27"/>
  <c r="BG172" i="27"/>
  <c r="BG168" i="27"/>
  <c r="BG164" i="27"/>
  <c r="BB112" i="27"/>
  <c r="BB104" i="27"/>
  <c r="BG3" i="27"/>
  <c r="BG59" i="27"/>
  <c r="BG43" i="27"/>
  <c r="BG127" i="27"/>
  <c r="BG159" i="27"/>
  <c r="BG151" i="27"/>
  <c r="BG147" i="27"/>
  <c r="BG143" i="27"/>
  <c r="BG135" i="27"/>
  <c r="BG131" i="27"/>
  <c r="BG167" i="27"/>
  <c r="BG163" i="27"/>
  <c r="BB120" i="27"/>
  <c r="BB67" i="27"/>
  <c r="BB191" i="27"/>
  <c r="BB221" i="27"/>
  <c r="BB213" i="27"/>
  <c r="BB205" i="27"/>
  <c r="BB199" i="27"/>
  <c r="BB195" i="27"/>
  <c r="BB253" i="27"/>
  <c r="BB245" i="27"/>
  <c r="BB237" i="27"/>
  <c r="BB229" i="27"/>
  <c r="BB269" i="27"/>
  <c r="BB261" i="27"/>
  <c r="BB79" i="23"/>
  <c r="BG22" i="27"/>
  <c r="BG18" i="27"/>
  <c r="BG14" i="27"/>
  <c r="BG6" i="27"/>
  <c r="BG2" i="27"/>
  <c r="BB26" i="27"/>
  <c r="BB10" i="27"/>
  <c r="BB62" i="27"/>
  <c r="BB90" i="27"/>
  <c r="BB86" i="27"/>
  <c r="BB74" i="27"/>
  <c r="BB66" i="27"/>
  <c r="BB295" i="27"/>
  <c r="BB116" i="27"/>
  <c r="BB100" i="27"/>
  <c r="BC28" i="19"/>
  <c r="BC24" i="19"/>
  <c r="BC20" i="19"/>
  <c r="BC16" i="19"/>
  <c r="BC12" i="19"/>
  <c r="BC8" i="19"/>
  <c r="BC4" i="19"/>
  <c r="BC64" i="19"/>
  <c r="BC60" i="19"/>
  <c r="BC56" i="19"/>
  <c r="BB300" i="23"/>
  <c r="BB292" i="23"/>
  <c r="BG29" i="27"/>
  <c r="BG25" i="27"/>
  <c r="BG37" i="27"/>
  <c r="BG33" i="27"/>
  <c r="BG89" i="27"/>
  <c r="BG81" i="27"/>
  <c r="BG77" i="27"/>
  <c r="BG73" i="27"/>
  <c r="BG69" i="27"/>
  <c r="BG21" i="27"/>
  <c r="BG17" i="27"/>
  <c r="BG13" i="27"/>
  <c r="BG5" i="27"/>
  <c r="BG1" i="27"/>
  <c r="BG93" i="27"/>
  <c r="BG97" i="27"/>
  <c r="BB65" i="27"/>
  <c r="BB121" i="27"/>
  <c r="BB117" i="27"/>
  <c r="BB113" i="27"/>
  <c r="BB109" i="27"/>
  <c r="BB101" i="27"/>
  <c r="BG68" i="27"/>
  <c r="BH190" i="19"/>
  <c r="BH174" i="19"/>
  <c r="BC220" i="19"/>
  <c r="BB32" i="27"/>
  <c r="BB24" i="27"/>
  <c r="BB20" i="27"/>
  <c r="BB16" i="27"/>
  <c r="BB60" i="27"/>
  <c r="BB40" i="27"/>
  <c r="BB36" i="27"/>
  <c r="BB184" i="27"/>
  <c r="BB180" i="27"/>
  <c r="BB176" i="27"/>
  <c r="BB172" i="27"/>
  <c r="BH158" i="19"/>
  <c r="BH182" i="19"/>
  <c r="BH170" i="19"/>
  <c r="BH166" i="19"/>
  <c r="BC212" i="19"/>
  <c r="BH198" i="19"/>
  <c r="BC252" i="19"/>
  <c r="BG191" i="27"/>
  <c r="BG199" i="27"/>
  <c r="BG195" i="27"/>
  <c r="BH186" i="19"/>
  <c r="BH178" i="19"/>
  <c r="BH162" i="19"/>
  <c r="BC204" i="19"/>
  <c r="BH194" i="19"/>
  <c r="BG30" i="27"/>
  <c r="BG10" i="27"/>
  <c r="BG54" i="27"/>
  <c r="BG50" i="27"/>
  <c r="BG46" i="27"/>
  <c r="BG38" i="27"/>
  <c r="BG34" i="27"/>
  <c r="BG86" i="27"/>
  <c r="BG82" i="27"/>
  <c r="BG78" i="27"/>
  <c r="BG31" i="27"/>
  <c r="BG15" i="27"/>
  <c r="BG47" i="27"/>
  <c r="BG67" i="27"/>
  <c r="BG103" i="27"/>
  <c r="BB254" i="27"/>
  <c r="BB246" i="27"/>
  <c r="BB262" i="27"/>
  <c r="BB74" i="23"/>
  <c r="BB70" i="23"/>
  <c r="BB66" i="23"/>
  <c r="BB123" i="27"/>
  <c r="BB119" i="27"/>
  <c r="BB115" i="27"/>
  <c r="BB285" i="27"/>
  <c r="BB277" i="27"/>
  <c r="BB294" i="23"/>
  <c r="BG74" i="27"/>
  <c r="BG126" i="27"/>
  <c r="BG138" i="27"/>
  <c r="BG134" i="27"/>
  <c r="BG130" i="27"/>
  <c r="BB22" i="27"/>
  <c r="BB6" i="27"/>
  <c r="BB54" i="27"/>
  <c r="BB38" i="27"/>
  <c r="BB82" i="27"/>
  <c r="BB78" i="27"/>
  <c r="BB154" i="27"/>
  <c r="BB150" i="27"/>
  <c r="BB146" i="27"/>
  <c r="BB142" i="27"/>
  <c r="BG85" i="27"/>
  <c r="BG157" i="27"/>
  <c r="BG169" i="27"/>
  <c r="BG165" i="27"/>
  <c r="BG161" i="27"/>
  <c r="BB89" i="27"/>
  <c r="BB185" i="27"/>
  <c r="BB181" i="27"/>
  <c r="BB177" i="27"/>
  <c r="BB173" i="27"/>
  <c r="BB293" i="27"/>
  <c r="BB286" i="23"/>
  <c r="BB278" i="23"/>
  <c r="BG28" i="27"/>
  <c r="BG12" i="27"/>
  <c r="BG60" i="27"/>
  <c r="BG44" i="27"/>
  <c r="BG92" i="27"/>
  <c r="BG192" i="27"/>
  <c r="BG188" i="27"/>
  <c r="BG200" i="27"/>
  <c r="BG196" i="27"/>
  <c r="BG65" i="27"/>
  <c r="BG23" i="27"/>
  <c r="BG7" i="27"/>
  <c r="BG39" i="27"/>
  <c r="BG197" i="27"/>
  <c r="BC260" i="19"/>
  <c r="BB90" i="23"/>
  <c r="BB86" i="23"/>
  <c r="BB82" i="23"/>
  <c r="BB126" i="23"/>
  <c r="BB122" i="23"/>
  <c r="BB118" i="23"/>
  <c r="BB110" i="23"/>
  <c r="BB106" i="23"/>
  <c r="BB102" i="23"/>
  <c r="BB98" i="23"/>
  <c r="BB158" i="23"/>
  <c r="BB138" i="23"/>
  <c r="BB134" i="23"/>
  <c r="BB130" i="23"/>
  <c r="BB190" i="23"/>
  <c r="BB186" i="23"/>
  <c r="BB182" i="23"/>
  <c r="BB178" i="23"/>
  <c r="BB174" i="23"/>
  <c r="BB170" i="23"/>
  <c r="BB166" i="23"/>
  <c r="BB162" i="23"/>
  <c r="BB219" i="23"/>
  <c r="BB211" i="23"/>
  <c r="BB203" i="23"/>
  <c r="BB198" i="23"/>
  <c r="BB194" i="23"/>
  <c r="BB251" i="23"/>
  <c r="BB243" i="23"/>
  <c r="BB235" i="23"/>
  <c r="BB227" i="23"/>
  <c r="BB283" i="23"/>
  <c r="BB275" i="23"/>
  <c r="BB267" i="23"/>
  <c r="BB259" i="23"/>
  <c r="BB71" i="27"/>
  <c r="BB111" i="27"/>
  <c r="BG125" i="23"/>
  <c r="BG121" i="23"/>
  <c r="BG113" i="23"/>
  <c r="BG109" i="23"/>
  <c r="BG105" i="23"/>
  <c r="BG157" i="23"/>
  <c r="BG153" i="23"/>
  <c r="BG145" i="23"/>
  <c r="BG141" i="23"/>
  <c r="BG137" i="23"/>
  <c r="BG129" i="23"/>
  <c r="BG189" i="23"/>
  <c r="BG185" i="23"/>
  <c r="BG177" i="23"/>
  <c r="BG173" i="23"/>
  <c r="BG169" i="23"/>
  <c r="BG161" i="23"/>
  <c r="BB218" i="23"/>
  <c r="BB210" i="23"/>
  <c r="BB202" i="23"/>
  <c r="BG193" i="23"/>
  <c r="BB250" i="23"/>
  <c r="BB242" i="23"/>
  <c r="BB234" i="23"/>
  <c r="BB282" i="23"/>
  <c r="BB274" i="23"/>
  <c r="BB266" i="23"/>
  <c r="BG114" i="27"/>
  <c r="BB299" i="23"/>
  <c r="BB291" i="23"/>
  <c r="BB105" i="27"/>
  <c r="BB298" i="23"/>
  <c r="BG120" i="27"/>
  <c r="BG104" i="27"/>
  <c r="BC244" i="19"/>
  <c r="BC236" i="19"/>
  <c r="BC228" i="19"/>
  <c r="BC284" i="19"/>
  <c r="BC276" i="19"/>
  <c r="BC268" i="19"/>
  <c r="BB31" i="23"/>
  <c r="BB27" i="23"/>
  <c r="BB23" i="23"/>
  <c r="BB19" i="23"/>
  <c r="BB15" i="23"/>
  <c r="BB11" i="23"/>
  <c r="BB7" i="23"/>
  <c r="BB3" i="23"/>
  <c r="BB63" i="23"/>
  <c r="BB59" i="23"/>
  <c r="BB55" i="23"/>
  <c r="BB51" i="23"/>
  <c r="BB47" i="23"/>
  <c r="BB43" i="23"/>
  <c r="BB39" i="23"/>
  <c r="BB35" i="23"/>
  <c r="BB75" i="23"/>
  <c r="BB71" i="23"/>
  <c r="BB108" i="27"/>
  <c r="BG30" i="23"/>
  <c r="BG26" i="23"/>
  <c r="BG22" i="23"/>
  <c r="BG18" i="23"/>
  <c r="BG14" i="23"/>
  <c r="BG10" i="23"/>
  <c r="BG6" i="23"/>
  <c r="BG2" i="23"/>
  <c r="BG62" i="23"/>
  <c r="BG58" i="23"/>
  <c r="BG54" i="23"/>
  <c r="BG50" i="23"/>
  <c r="BG46" i="23"/>
  <c r="BG42" i="23"/>
  <c r="BG38" i="23"/>
  <c r="BG34" i="23"/>
  <c r="BG94" i="23"/>
  <c r="BG86" i="23"/>
  <c r="BG82" i="23"/>
  <c r="BG78" i="23"/>
  <c r="BG74" i="23"/>
  <c r="BG70" i="23"/>
  <c r="BG66" i="23"/>
  <c r="BG122" i="23"/>
  <c r="BG118" i="23"/>
  <c r="BG110" i="23"/>
  <c r="BG106" i="23"/>
  <c r="BG102" i="23"/>
  <c r="BG98" i="23"/>
  <c r="BG158" i="23"/>
  <c r="BG154" i="23"/>
  <c r="BG150" i="23"/>
  <c r="BG146" i="23"/>
  <c r="BG142" i="23"/>
  <c r="BG190" i="23"/>
  <c r="BG186" i="23"/>
  <c r="BG182" i="23"/>
  <c r="BG178" i="23"/>
  <c r="BG174" i="23"/>
  <c r="BG170" i="23"/>
  <c r="BG166" i="23"/>
  <c r="BG162" i="23"/>
  <c r="BB220" i="23"/>
  <c r="BB212" i="23"/>
  <c r="BB204" i="23"/>
  <c r="BG198" i="23"/>
  <c r="BG194" i="23"/>
  <c r="BB252" i="23"/>
  <c r="BB244" i="23"/>
  <c r="BB236" i="23"/>
  <c r="BB228" i="23"/>
  <c r="BB284" i="23"/>
  <c r="BB276" i="23"/>
  <c r="BB268" i="23"/>
  <c r="BB260" i="23"/>
  <c r="BG63" i="27"/>
  <c r="BB29" i="23"/>
  <c r="BB25" i="23"/>
  <c r="BB21" i="23"/>
  <c r="BB17" i="23"/>
  <c r="BB13" i="23"/>
  <c r="BB9" i="23"/>
  <c r="BB5" i="23"/>
  <c r="BB1" i="23"/>
  <c r="BB61" i="23"/>
  <c r="BB57" i="23"/>
  <c r="BB53" i="23"/>
  <c r="BB49" i="23"/>
  <c r="BB45" i="23"/>
  <c r="BB41" i="23"/>
  <c r="BB37" i="23"/>
  <c r="BB33" i="23"/>
  <c r="BB77" i="23"/>
  <c r="BB69" i="23"/>
  <c r="BB65" i="23"/>
  <c r="BG80" i="23"/>
  <c r="BB95" i="23"/>
  <c r="BB91" i="23"/>
  <c r="BB87" i="23"/>
  <c r="BB83" i="23"/>
  <c r="BB127" i="23"/>
  <c r="BB107" i="23"/>
  <c r="BB103" i="23"/>
  <c r="BB99" i="23"/>
  <c r="BB159" i="23"/>
  <c r="BB155" i="23"/>
  <c r="BB151" i="23"/>
  <c r="BB147" i="23"/>
  <c r="BB143" i="23"/>
  <c r="BB139" i="23"/>
  <c r="BB135" i="23"/>
  <c r="BB131" i="23"/>
  <c r="BB171" i="23"/>
  <c r="BB167" i="23"/>
  <c r="BB163" i="23"/>
  <c r="BH57" i="19"/>
  <c r="BH53" i="19"/>
  <c r="BC185" i="19"/>
  <c r="BC161" i="19"/>
  <c r="BC193" i="19"/>
  <c r="BC281" i="19"/>
  <c r="BC295" i="19"/>
  <c r="BC173" i="19"/>
  <c r="BC209" i="19"/>
  <c r="BC241" i="19"/>
  <c r="BC273" i="19"/>
  <c r="BH16" i="19"/>
  <c r="BH8" i="19"/>
  <c r="BH44" i="19"/>
  <c r="BC189" i="19"/>
  <c r="BC169" i="19"/>
  <c r="BC201" i="19"/>
  <c r="BC233" i="19"/>
  <c r="BH52" i="19"/>
  <c r="BC192" i="19"/>
  <c r="BC215" i="19"/>
  <c r="BC200" i="19"/>
  <c r="BC255" i="19"/>
  <c r="BC239" i="19"/>
  <c r="BC271" i="19"/>
  <c r="BH61" i="19"/>
  <c r="BC177" i="19"/>
  <c r="BC217" i="19"/>
  <c r="BC249" i="19"/>
  <c r="BC265" i="19"/>
  <c r="BH20" i="19"/>
  <c r="BH12" i="19"/>
  <c r="BH4" i="19"/>
  <c r="BH48" i="19"/>
  <c r="BC223" i="19"/>
  <c r="BC207" i="19"/>
  <c r="BC196" i="19"/>
  <c r="BC247" i="19"/>
  <c r="BC287" i="19"/>
  <c r="BC279" i="19"/>
  <c r="BC263" i="19"/>
  <c r="BB32" i="23"/>
  <c r="BB28" i="23"/>
  <c r="BB24" i="23"/>
  <c r="BB20" i="23"/>
  <c r="BB16" i="23"/>
  <c r="BB12" i="23"/>
  <c r="BB8" i="23"/>
  <c r="BB4" i="23"/>
  <c r="BB60" i="23"/>
  <c r="BB56" i="23"/>
  <c r="BB52" i="23"/>
  <c r="BB48" i="23"/>
  <c r="BB44" i="23"/>
  <c r="BB40" i="23"/>
  <c r="BB36" i="23"/>
  <c r="BB96" i="23"/>
  <c r="BB88" i="23"/>
  <c r="BB128" i="23"/>
  <c r="BB124" i="23"/>
  <c r="BB120" i="23"/>
  <c r="BB116" i="23"/>
  <c r="BB112" i="23"/>
  <c r="BB108" i="23"/>
  <c r="BB104" i="23"/>
  <c r="BB136" i="23"/>
  <c r="BB132" i="23"/>
  <c r="BB192" i="23"/>
  <c r="BB188" i="23"/>
  <c r="BB184" i="23"/>
  <c r="BB180" i="23"/>
  <c r="BB176" i="23"/>
  <c r="BB172" i="23"/>
  <c r="BB200" i="23"/>
  <c r="BB196" i="23"/>
  <c r="BB255" i="23"/>
  <c r="BB247" i="23"/>
  <c r="BB239" i="23"/>
  <c r="BB287" i="23"/>
  <c r="BB279" i="23"/>
  <c r="BB271" i="23"/>
  <c r="BB263" i="23"/>
  <c r="BG64" i="23"/>
  <c r="BG76" i="23"/>
  <c r="BG72" i="23"/>
  <c r="BG68" i="23"/>
  <c r="BB80" i="23"/>
  <c r="BC91" i="19"/>
  <c r="BC83" i="19"/>
  <c r="BC75" i="19"/>
  <c r="BC67" i="19"/>
  <c r="BC127" i="19"/>
  <c r="BC111" i="19"/>
  <c r="BC103" i="19"/>
  <c r="BC99" i="19"/>
  <c r="BC151" i="19"/>
  <c r="BC143" i="19"/>
  <c r="BC135" i="19"/>
  <c r="BC297" i="19"/>
  <c r="BG88" i="23"/>
  <c r="BG84" i="23"/>
  <c r="BH63" i="19"/>
  <c r="BB92" i="23"/>
  <c r="BC159" i="19"/>
  <c r="BC183" i="19"/>
  <c r="BC175" i="19"/>
  <c r="BC167" i="19"/>
  <c r="BG127" i="23"/>
  <c r="BG119" i="23"/>
  <c r="BG115" i="23"/>
  <c r="BG111" i="23"/>
  <c r="BG159" i="23"/>
  <c r="BG151" i="23"/>
  <c r="BG147" i="23"/>
  <c r="BG143" i="23"/>
  <c r="BG135" i="23"/>
  <c r="BG131" i="23"/>
  <c r="BG167" i="23"/>
  <c r="BG163" i="23"/>
  <c r="BB191" i="23"/>
  <c r="BB187" i="23"/>
  <c r="BB183" i="23"/>
  <c r="BB179" i="23"/>
  <c r="BB175" i="23"/>
  <c r="BB221" i="23"/>
  <c r="BB213" i="23"/>
  <c r="BB205" i="23"/>
  <c r="BB199" i="23"/>
  <c r="BB195" i="23"/>
  <c r="BB253" i="23"/>
  <c r="BB245" i="23"/>
  <c r="BB237" i="23"/>
  <c r="BB229" i="23"/>
  <c r="BB269" i="23"/>
  <c r="BB261" i="23"/>
  <c r="BB295" i="23"/>
  <c r="BB94" i="23"/>
  <c r="BC93" i="19"/>
  <c r="BC121" i="19"/>
  <c r="BC157" i="19"/>
  <c r="BC129" i="19"/>
  <c r="BC73" i="19"/>
  <c r="BC113" i="19"/>
  <c r="BC145" i="19"/>
  <c r="BC208" i="19"/>
  <c r="BC248" i="19"/>
  <c r="BB121" i="23"/>
  <c r="BB117" i="23"/>
  <c r="BB113" i="23"/>
  <c r="BB109" i="23"/>
  <c r="BB101" i="23"/>
  <c r="BC89" i="19"/>
  <c r="BC125" i="19"/>
  <c r="BC97" i="19"/>
  <c r="BC224" i="19"/>
  <c r="BH196" i="19"/>
  <c r="BC232" i="19"/>
  <c r="BC280" i="19"/>
  <c r="BC264" i="19"/>
  <c r="BG32" i="23"/>
  <c r="BG28" i="23"/>
  <c r="BG24" i="23"/>
  <c r="BG20" i="23"/>
  <c r="BG16" i="23"/>
  <c r="BG12" i="23"/>
  <c r="BG8" i="23"/>
  <c r="BG4" i="23"/>
  <c r="BG60" i="23"/>
  <c r="BG56" i="23"/>
  <c r="BG52" i="23"/>
  <c r="BG48" i="23"/>
  <c r="BG44" i="23"/>
  <c r="BG40" i="23"/>
  <c r="BG36" i="23"/>
  <c r="BG128" i="23"/>
  <c r="BG124" i="23"/>
  <c r="BG136" i="23"/>
  <c r="BG132" i="23"/>
  <c r="BC77" i="19"/>
  <c r="BC117" i="19"/>
  <c r="BC153" i="19"/>
  <c r="BC137" i="19"/>
  <c r="BC216" i="19"/>
  <c r="BC256" i="19"/>
  <c r="BC288" i="19"/>
  <c r="BC272" i="19"/>
  <c r="BB76" i="23"/>
  <c r="BB72" i="23"/>
  <c r="BB68" i="23"/>
  <c r="BB160" i="23"/>
  <c r="BB156" i="23"/>
  <c r="BB152" i="23"/>
  <c r="BB148" i="23"/>
  <c r="BB144" i="23"/>
  <c r="BB140" i="23"/>
  <c r="BB168" i="23"/>
  <c r="BB164" i="23"/>
  <c r="BC85" i="19"/>
  <c r="BC69" i="19"/>
  <c r="BC101" i="19"/>
  <c r="BC141" i="19"/>
  <c r="BH192" i="19"/>
  <c r="BH200" i="19"/>
  <c r="BC240" i="19"/>
  <c r="BG79" i="23"/>
  <c r="BG191" i="23"/>
  <c r="BG183" i="23"/>
  <c r="BG179" i="23"/>
  <c r="BG175" i="23"/>
  <c r="BB222" i="23"/>
  <c r="BB214" i="23"/>
  <c r="BG199" i="23"/>
  <c r="BG195" i="23"/>
  <c r="BB230" i="23"/>
  <c r="BB81" i="23"/>
  <c r="BB97" i="23"/>
  <c r="BB185" i="23"/>
  <c r="BB181" i="23"/>
  <c r="BB177" i="23"/>
  <c r="BB173" i="23"/>
  <c r="BB293" i="23"/>
  <c r="BC299" i="19"/>
  <c r="BC291" i="19"/>
  <c r="BG192" i="23"/>
  <c r="BG188" i="23"/>
  <c r="BG200" i="23"/>
  <c r="BG196" i="23"/>
  <c r="BB84" i="23"/>
  <c r="BB100" i="23"/>
  <c r="BB223" i="23"/>
  <c r="BB215" i="23"/>
  <c r="BB207" i="23"/>
  <c r="BB231" i="23"/>
  <c r="BG103" i="23"/>
  <c r="BB254" i="23"/>
  <c r="BB246" i="23"/>
  <c r="BB262" i="23"/>
  <c r="BH30" i="19"/>
  <c r="BH18" i="19"/>
  <c r="BH6" i="19"/>
  <c r="BH58" i="19"/>
  <c r="BH46" i="19"/>
  <c r="BH38" i="19"/>
  <c r="BH122" i="19"/>
  <c r="BH106" i="19"/>
  <c r="BH150" i="19"/>
  <c r="BH138" i="19"/>
  <c r="BH130" i="19"/>
  <c r="BB123" i="23"/>
  <c r="BB119" i="23"/>
  <c r="BB115" i="23"/>
  <c r="BB285" i="23"/>
  <c r="BB277" i="23"/>
  <c r="BH22" i="19"/>
  <c r="BH10" i="19"/>
  <c r="BH62" i="19"/>
  <c r="BH50" i="19"/>
  <c r="BH34" i="19"/>
  <c r="BH126" i="19"/>
  <c r="BH114" i="19"/>
  <c r="BH154" i="19"/>
  <c r="BH142" i="19"/>
  <c r="BH134" i="19"/>
  <c r="BC186" i="19"/>
  <c r="BC182" i="19"/>
  <c r="BC178" i="19"/>
  <c r="BC170" i="19"/>
  <c r="BC166" i="19"/>
  <c r="BC162" i="19"/>
  <c r="BC219" i="19"/>
  <c r="BC203" i="19"/>
  <c r="BC198" i="19"/>
  <c r="BC194" i="19"/>
  <c r="BC251" i="19"/>
  <c r="BC235" i="19"/>
  <c r="BC227" i="19"/>
  <c r="BC283" i="19"/>
  <c r="BC267" i="19"/>
  <c r="BC259" i="19"/>
  <c r="BG90" i="23"/>
  <c r="BG126" i="23"/>
  <c r="BG138" i="23"/>
  <c r="BG134" i="23"/>
  <c r="BG130" i="23"/>
  <c r="BH26" i="19"/>
  <c r="BH14" i="19"/>
  <c r="BH2" i="19"/>
  <c r="BH54" i="19"/>
  <c r="BH42" i="19"/>
  <c r="BH146" i="19"/>
  <c r="BB154" i="23"/>
  <c r="BB150" i="23"/>
  <c r="BB146" i="23"/>
  <c r="BB142" i="23"/>
  <c r="BH104" i="19"/>
  <c r="BC96" i="19"/>
  <c r="BC80" i="19"/>
  <c r="BC72" i="19"/>
  <c r="BH31" i="19"/>
  <c r="BH27" i="19"/>
  <c r="BH23" i="19"/>
  <c r="BH19" i="19"/>
  <c r="BH15" i="19"/>
  <c r="BH11" i="19"/>
  <c r="BH7" i="19"/>
  <c r="BH3" i="19"/>
  <c r="BH39" i="19"/>
  <c r="BH35" i="19"/>
  <c r="BH95" i="19"/>
  <c r="BH91" i="19"/>
  <c r="BH83" i="19"/>
  <c r="BH79" i="19"/>
  <c r="BH75" i="19"/>
  <c r="BH67" i="19"/>
  <c r="BH127" i="19"/>
  <c r="BH123" i="19"/>
  <c r="BH119" i="19"/>
  <c r="BH115" i="19"/>
  <c r="BH107" i="19"/>
  <c r="BH103" i="19"/>
  <c r="BH99" i="19"/>
  <c r="BH155" i="19"/>
  <c r="BH151" i="19"/>
  <c r="BH147" i="19"/>
  <c r="BH143" i="19"/>
  <c r="BH139" i="19"/>
  <c r="BH135" i="19"/>
  <c r="BH131" i="19"/>
  <c r="BC298" i="19"/>
  <c r="BC290" i="19"/>
  <c r="BG69" i="23"/>
  <c r="BH108" i="19"/>
  <c r="BH152" i="19"/>
  <c r="BH140" i="19"/>
  <c r="BH132" i="19"/>
  <c r="BC92" i="19"/>
  <c r="BC76" i="19"/>
  <c r="BB73" i="23"/>
  <c r="BB105" i="23"/>
  <c r="BH125" i="19"/>
  <c r="BH117" i="19"/>
  <c r="BH113" i="19"/>
  <c r="BH105" i="19"/>
  <c r="BH157" i="19"/>
  <c r="BH149" i="19"/>
  <c r="BH141" i="19"/>
  <c r="BH133" i="19"/>
  <c r="BH165" i="19"/>
  <c r="BC210" i="19"/>
  <c r="BH197" i="19"/>
  <c r="BC242" i="19"/>
  <c r="BC226" i="19"/>
  <c r="BC274" i="19"/>
  <c r="BC258" i="19"/>
  <c r="BC294" i="19"/>
  <c r="BB111" i="23"/>
  <c r="BH60" i="19"/>
  <c r="BH56" i="19"/>
  <c r="BH128" i="19"/>
  <c r="BH148" i="19"/>
  <c r="BG114" i="23"/>
  <c r="BH156" i="19"/>
  <c r="BH144" i="19"/>
  <c r="BH136" i="19"/>
  <c r="BC88" i="19"/>
  <c r="BC100" i="19"/>
  <c r="BB114" i="23"/>
  <c r="BH29" i="19"/>
  <c r="BH25" i="19"/>
  <c r="BH21" i="19"/>
  <c r="BH17" i="19"/>
  <c r="BH13" i="19"/>
  <c r="BH9" i="19"/>
  <c r="BH5" i="19"/>
  <c r="BH1" i="19"/>
  <c r="BH49" i="19"/>
  <c r="BH45" i="19"/>
  <c r="BH41" i="19"/>
  <c r="BH37" i="19"/>
  <c r="BH33" i="19"/>
  <c r="BH89" i="19"/>
  <c r="BH85" i="19"/>
  <c r="BH81" i="19"/>
  <c r="BH73" i="19"/>
  <c r="BH69" i="19"/>
  <c r="BH65" i="19"/>
  <c r="BH160" i="19"/>
  <c r="BH188" i="19"/>
  <c r="BH184" i="19"/>
  <c r="BH180" i="19"/>
  <c r="BH176" i="19"/>
  <c r="BH172" i="19"/>
  <c r="BH168" i="19"/>
  <c r="BH164" i="19"/>
  <c r="BC231" i="19"/>
  <c r="BH76" i="19"/>
  <c r="BH68" i="19"/>
  <c r="BH92" i="19"/>
  <c r="BC124" i="19"/>
  <c r="BC120" i="19"/>
  <c r="BC116" i="19"/>
  <c r="BC112" i="19"/>
  <c r="BC108" i="19"/>
  <c r="BC104" i="19"/>
  <c r="BH84" i="19"/>
  <c r="BH24" i="19"/>
  <c r="BH124" i="19"/>
  <c r="BH112" i="19"/>
  <c r="BC32" i="19"/>
  <c r="BC44" i="19"/>
  <c r="BC36" i="19"/>
  <c r="BC128" i="19"/>
  <c r="BC160" i="19"/>
  <c r="BC156" i="19"/>
  <c r="BC152" i="19"/>
  <c r="BC148" i="19"/>
  <c r="BC144" i="19"/>
  <c r="BC140" i="19"/>
  <c r="BC136" i="19"/>
  <c r="BC132" i="19"/>
  <c r="BC188" i="19"/>
  <c r="BC184" i="19"/>
  <c r="BC180" i="19"/>
  <c r="BC176" i="19"/>
  <c r="BC172" i="19"/>
  <c r="BC168" i="19"/>
  <c r="BC164" i="19"/>
  <c r="BH32" i="19"/>
  <c r="BH120" i="19"/>
  <c r="BC48" i="19"/>
  <c r="BC40" i="19"/>
  <c r="BH59" i="19"/>
  <c r="BH51" i="19"/>
  <c r="BH43" i="19"/>
  <c r="BH159" i="19"/>
  <c r="BH191" i="19"/>
  <c r="BH187" i="19"/>
  <c r="BH183" i="19"/>
  <c r="BH179" i="19"/>
  <c r="BH175" i="19"/>
  <c r="BH171" i="19"/>
  <c r="BH167" i="19"/>
  <c r="BH163" i="19"/>
  <c r="BC222" i="19"/>
  <c r="BC214" i="19"/>
  <c r="BC206" i="19"/>
  <c r="BH199" i="19"/>
  <c r="BH195" i="19"/>
  <c r="BC254" i="19"/>
  <c r="BC246" i="19"/>
  <c r="BC238" i="19"/>
  <c r="BC230" i="19"/>
  <c r="BC286" i="19"/>
  <c r="BC278" i="19"/>
  <c r="BC270" i="19"/>
  <c r="BC262" i="19"/>
  <c r="BC109" i="19"/>
  <c r="BH28" i="19"/>
  <c r="BC52" i="19"/>
  <c r="BH55" i="19"/>
  <c r="BH47" i="19"/>
  <c r="BC191" i="19"/>
  <c r="BC213" i="19"/>
  <c r="BC199" i="19"/>
  <c r="BC245" i="19"/>
  <c r="BC229" i="19"/>
  <c r="BC277" i="19"/>
  <c r="BC261" i="19"/>
  <c r="BH40" i="19"/>
  <c r="BH94" i="19"/>
  <c r="BH82" i="19"/>
  <c r="BH66" i="19"/>
  <c r="BC293" i="19"/>
  <c r="BH36" i="19"/>
  <c r="BH86" i="19"/>
  <c r="BH78" i="19"/>
  <c r="BH70" i="19"/>
  <c r="BC94" i="19"/>
  <c r="BC90" i="19"/>
  <c r="BC86" i="19"/>
  <c r="BC82" i="19"/>
  <c r="BC78" i="19"/>
  <c r="BC74" i="19"/>
  <c r="BC70" i="19"/>
  <c r="BC66" i="19"/>
  <c r="BC106" i="19"/>
  <c r="BC102" i="19"/>
  <c r="BC98" i="19"/>
  <c r="BH93" i="19"/>
  <c r="BH77" i="19"/>
  <c r="BC81" i="19"/>
  <c r="BC65" i="19"/>
  <c r="BC123" i="19"/>
  <c r="BC119" i="19"/>
  <c r="BC155" i="19"/>
  <c r="BC147" i="19"/>
  <c r="BC139" i="19"/>
  <c r="BC131" i="19"/>
  <c r="BC187" i="19"/>
  <c r="BC179" i="19"/>
  <c r="BC171" i="19"/>
  <c r="BC163" i="19"/>
  <c r="BC221" i="19"/>
  <c r="BC205" i="19"/>
  <c r="BC195" i="19"/>
  <c r="BC253" i="19"/>
  <c r="BC237" i="19"/>
  <c r="BC285" i="19"/>
  <c r="BC269" i="19"/>
  <c r="BC289" i="19"/>
  <c r="BH118" i="19"/>
  <c r="BH110" i="19"/>
  <c r="BH87" i="19"/>
  <c r="BH71" i="19"/>
  <c r="BH121" i="19"/>
  <c r="BH153" i="19"/>
  <c r="BH145" i="19"/>
  <c r="BH137" i="19"/>
  <c r="BH129" i="19"/>
  <c r="BH185" i="19"/>
  <c r="BH177" i="19"/>
  <c r="BH169" i="19"/>
  <c r="BH161" i="19"/>
  <c r="BC218" i="19"/>
  <c r="BC202" i="19"/>
  <c r="BH193" i="19"/>
  <c r="BC250" i="19"/>
  <c r="BC234" i="19"/>
  <c r="BC282" i="19"/>
  <c r="BC266" i="19"/>
  <c r="BC84" i="19"/>
  <c r="BC68" i="19"/>
  <c r="BC87" i="19"/>
  <c r="BC71" i="19"/>
  <c r="BC149" i="19"/>
  <c r="BC133" i="19"/>
  <c r="BC181" i="19"/>
  <c r="BC165" i="19"/>
  <c r="BC197" i="19"/>
  <c r="BC225" i="19"/>
  <c r="BC257" i="19"/>
  <c r="BC79" i="19"/>
  <c r="BH116" i="19"/>
  <c r="E98" i="27" l="1"/>
  <c r="E73" i="27"/>
  <c r="D98" i="27"/>
  <c r="E74" i="27"/>
  <c r="D73" i="27"/>
  <c r="E97" i="27"/>
  <c r="D97" i="27"/>
  <c r="D74" i="27"/>
  <c r="D98" i="23"/>
  <c r="D74" i="23"/>
  <c r="D79" i="23" s="1"/>
  <c r="D73" i="23"/>
  <c r="E74" i="23"/>
  <c r="E73" i="23"/>
  <c r="E97" i="23"/>
  <c r="D97" i="23"/>
  <c r="E98" i="23"/>
  <c r="D89" i="19"/>
  <c r="E90" i="19"/>
  <c r="D90" i="19"/>
  <c r="E114" i="19"/>
  <c r="D113" i="19"/>
  <c r="E113" i="19"/>
  <c r="E89" i="19"/>
  <c r="D114" i="19"/>
  <c r="E110" i="27" l="1"/>
  <c r="E85" i="23"/>
  <c r="D103" i="27"/>
  <c r="E103" i="27"/>
  <c r="E109" i="27"/>
  <c r="E102" i="27"/>
  <c r="D102" i="27"/>
  <c r="E108" i="27"/>
  <c r="D78" i="27"/>
  <c r="E85" i="27"/>
  <c r="E78" i="27"/>
  <c r="E84" i="27"/>
  <c r="D79" i="27"/>
  <c r="E79" i="27"/>
  <c r="E86" i="27"/>
  <c r="D95" i="19"/>
  <c r="E94" i="19"/>
  <c r="D103" i="23"/>
  <c r="E84" i="23"/>
  <c r="E86" i="23"/>
  <c r="E79" i="23"/>
  <c r="F79" i="23" s="1"/>
  <c r="E102" i="23"/>
  <c r="E108" i="23"/>
  <c r="D102" i="23"/>
  <c r="E109" i="23"/>
  <c r="E103" i="23"/>
  <c r="D78" i="23"/>
  <c r="E110" i="23"/>
  <c r="E78" i="23"/>
  <c r="E100" i="19"/>
  <c r="E102" i="19"/>
  <c r="E95" i="19"/>
  <c r="D118" i="19"/>
  <c r="E118" i="19"/>
  <c r="E124" i="19"/>
  <c r="E125" i="19"/>
  <c r="D94" i="19"/>
  <c r="E101" i="19"/>
  <c r="E119" i="19"/>
  <c r="E126" i="19"/>
  <c r="D119" i="19"/>
  <c r="E111" i="27" l="1"/>
  <c r="E104" i="27"/>
  <c r="E87" i="23"/>
  <c r="E87" i="27"/>
  <c r="F103" i="27"/>
  <c r="E80" i="27"/>
  <c r="F78" i="27"/>
  <c r="D80" i="27"/>
  <c r="F102" i="27"/>
  <c r="D104" i="27"/>
  <c r="F104" i="27" s="1"/>
  <c r="F79" i="27"/>
  <c r="E80" i="23"/>
  <c r="E104" i="23"/>
  <c r="E96" i="19"/>
  <c r="F103" i="23"/>
  <c r="F95" i="19"/>
  <c r="F78" i="23"/>
  <c r="D80" i="23"/>
  <c r="E111" i="23"/>
  <c r="F102" i="23"/>
  <c r="D104" i="23"/>
  <c r="F104" i="23" s="1"/>
  <c r="E127" i="19"/>
  <c r="E103" i="19"/>
  <c r="D96" i="19"/>
  <c r="F94" i="19"/>
  <c r="F119" i="19"/>
  <c r="E120" i="19"/>
  <c r="D120" i="19"/>
  <c r="F118" i="19"/>
  <c r="F96" i="19" l="1"/>
  <c r="F80" i="27"/>
  <c r="F80" i="23"/>
  <c r="F120" i="19"/>
</calcChain>
</file>

<file path=xl/sharedStrings.xml><?xml version="1.0" encoding="utf-8"?>
<sst xmlns="http://schemas.openxmlformats.org/spreadsheetml/2006/main" count="680" uniqueCount="171">
  <si>
    <t>GPA</t>
  </si>
  <si>
    <t>Student</t>
  </si>
  <si>
    <t>Seminar</t>
  </si>
  <si>
    <t>Dropped</t>
  </si>
  <si>
    <t>XLMiner: Data Partition Sheet</t>
  </si>
  <si>
    <t>Output Navigator</t>
  </si>
  <si>
    <t>Elapsed Times in Milliseconds</t>
  </si>
  <si>
    <t>Partitioning Time</t>
  </si>
  <si>
    <t>Report Time</t>
  </si>
  <si>
    <t>Total</t>
  </si>
  <si>
    <t>Data</t>
  </si>
  <si>
    <t>Data Source</t>
  </si>
  <si>
    <t>$A$1:$D$501</t>
  </si>
  <si>
    <t>Selected Variables</t>
  </si>
  <si>
    <t>Partitioning Method</t>
  </si>
  <si>
    <t>Randomly Chosen</t>
  </si>
  <si>
    <t>Random Seed</t>
  </si>
  <si>
    <t># Variables</t>
  </si>
  <si>
    <t># Training Rows</t>
  </si>
  <si>
    <t># Validation Rows</t>
  </si>
  <si>
    <t># Test Rows</t>
  </si>
  <si>
    <t>Training Data</t>
  </si>
  <si>
    <t>Validation Data</t>
  </si>
  <si>
    <t>All Data</t>
  </si>
  <si>
    <t>Model</t>
  </si>
  <si>
    <t>Logistic Regression</t>
  </si>
  <si>
    <t>Constant term present</t>
  </si>
  <si>
    <t># Selected Variables</t>
  </si>
  <si>
    <t>E5:G5</t>
  </si>
  <si>
    <t>Variables Offsets</t>
  </si>
  <si>
    <t>E6:G6</t>
  </si>
  <si>
    <t>Variable Role</t>
  </si>
  <si>
    <t>E7:G7</t>
  </si>
  <si>
    <t>Input</t>
  </si>
  <si>
    <t>Output</t>
  </si>
  <si>
    <t>Variable Type</t>
  </si>
  <si>
    <t>E8:G8</t>
  </si>
  <si>
    <t>Scale</t>
  </si>
  <si>
    <t>Estimated Coefficients</t>
  </si>
  <si>
    <t>D10:F10</t>
  </si>
  <si>
    <t>Class Labels</t>
  </si>
  <si>
    <t>E11:F11</t>
  </si>
  <si>
    <t>Success Class Index</t>
  </si>
  <si>
    <t>Success Probability Threshold</t>
  </si>
  <si>
    <t>XLMiner: Logistic Regression Classification - Validation Data Lift Chart</t>
  </si>
  <si>
    <t>Data Read Time</t>
  </si>
  <si>
    <t>LR Time</t>
  </si>
  <si>
    <t>Serial no.</t>
  </si>
  <si>
    <t>Predicted Dropped</t>
  </si>
  <si>
    <t>Actual Dropped</t>
  </si>
  <si>
    <t>Cumulative Dropped when sorted using predicted values</t>
  </si>
  <si>
    <t>Cumulative Dropped using average</t>
  </si>
  <si>
    <t>Deciles</t>
  </si>
  <si>
    <t>Decile mean / Global mean</t>
  </si>
  <si>
    <t>X</t>
  </si>
  <si>
    <t>Y0</t>
  </si>
  <si>
    <t>Y1</t>
  </si>
  <si>
    <t>Decile</t>
  </si>
  <si>
    <t>Mean</t>
  </si>
  <si>
    <t>Std.Dev.</t>
  </si>
  <si>
    <t>Min.</t>
  </si>
  <si>
    <t>Max.</t>
  </si>
  <si>
    <t>Inputs</t>
  </si>
  <si>
    <t>Prior Class Prob.</t>
  </si>
  <si>
    <t>Predictors</t>
  </si>
  <si>
    <t>Regress. Model</t>
  </si>
  <si>
    <t>Variable Selection</t>
  </si>
  <si>
    <t>Train. Score Summary</t>
  </si>
  <si>
    <t>Valid. Score Summary</t>
  </si>
  <si>
    <t>Training Lift Chart</t>
  </si>
  <si>
    <t>Validation Lift Chart</t>
  </si>
  <si>
    <t>XLMiner: Logistic Regression Classification - Training Data Lift Chart</t>
  </si>
  <si>
    <t>XLMiner : Logistic Regression</t>
  </si>
  <si>
    <t>Workbook</t>
  </si>
  <si>
    <t>Dana.xlsx</t>
  </si>
  <si>
    <t>Worksheet</t>
  </si>
  <si>
    <t>Data_Partition</t>
  </si>
  <si>
    <t>Training data used for building the model</t>
  </si>
  <si>
    <t>$B$21:$D$320</t>
  </si>
  <si>
    <t># Records in the training data</t>
  </si>
  <si>
    <t>Validation data</t>
  </si>
  <si>
    <t>$B$321:$D$520</t>
  </si>
  <si>
    <t># Records in the validation data</t>
  </si>
  <si>
    <t>Variables</t>
  </si>
  <si>
    <t># Input Variables</t>
  </si>
  <si>
    <t>Input variables</t>
  </si>
  <si>
    <t>Output variable</t>
  </si>
  <si>
    <t>Parameters/Options</t>
  </si>
  <si>
    <t>Force constant term to zero</t>
  </si>
  <si>
    <t>No</t>
  </si>
  <si>
    <t>Confidence level for odds</t>
  </si>
  <si>
    <t>Maximum Iterations</t>
  </si>
  <si>
    <t>Perform Variable Selection</t>
  </si>
  <si>
    <t>Yes</t>
  </si>
  <si>
    <t>Maximum Size of Subset</t>
  </si>
  <si>
    <t>Number of Best Subsets</t>
  </si>
  <si>
    <t>Variable Selection Procedure</t>
  </si>
  <si>
    <t>Best Subsets</t>
  </si>
  <si>
    <t>Show covariance matrix of coefficients</t>
  </si>
  <si>
    <t>Show Residuals</t>
  </si>
  <si>
    <t>Output Options Chosen</t>
  </si>
  <si>
    <t>Summary report of scoring on training data</t>
  </si>
  <si>
    <t>Lift charts on training data</t>
  </si>
  <si>
    <t>Summary report of scoring on validation data</t>
  </si>
  <si>
    <t>Lift charts on validation data</t>
  </si>
  <si>
    <t>Prior Class Probabilities</t>
  </si>
  <si>
    <t>According to relative occurrences in training data</t>
  </si>
  <si>
    <t>Class</t>
  </si>
  <si>
    <t>Prob.</t>
  </si>
  <si>
    <t>Model Predictors</t>
  </si>
  <si>
    <t>Tolerance for Entering the Model</t>
  </si>
  <si>
    <t>Included</t>
  </si>
  <si>
    <t>Excluded</t>
  </si>
  <si>
    <t>Predictor</t>
  </si>
  <si>
    <t>Criteria</t>
  </si>
  <si>
    <t>Intercept</t>
  </si>
  <si>
    <t>Regression Model</t>
  </si>
  <si>
    <t>Input
Variables</t>
  </si>
  <si>
    <t>Coefficient</t>
  </si>
  <si>
    <t>Std. Error</t>
  </si>
  <si>
    <t>Chi2-Statistic</t>
  </si>
  <si>
    <t>P-Value</t>
  </si>
  <si>
    <t>Odds</t>
  </si>
  <si>
    <t>CI Lower</t>
  </si>
  <si>
    <t>CI Upper</t>
  </si>
  <si>
    <t>Residual DF</t>
  </si>
  <si>
    <t>Residual Dev.</t>
  </si>
  <si>
    <t># Iterations Used</t>
  </si>
  <si>
    <t>Multiple R²</t>
  </si>
  <si>
    <t>Subset Link</t>
  </si>
  <si>
    <t>#Coeffs</t>
  </si>
  <si>
    <t>RSS</t>
  </si>
  <si>
    <t>Cp</t>
  </si>
  <si>
    <t>Probability</t>
  </si>
  <si>
    <t>{"allDataRange":"$B$20:$D$520","cat_cols":[],"data_range":"","firstRow":-1,"forceConstTermToZero":false,"has_header":true,"isPartitionSheet":true,"maxNumIterations":50,"numBestSubsets":2,"numOutputClasses":2,"output_var":{"varId":2,"varName":"Dropped"},"partitionData":false,"rows":500,"successClass":"1","successCutoffProb":0.50,"test_rows":0,"train_rows":300,"trainingDataRange":"$B$21:$D$320","useSuccessClass":true,"validationDataRange":"$B$321:$D$520","validation_rows":200,"weight_var":null,"wkbk":"Dana.xlsx","wksheet":"Data_Partition"}</t>
  </si>
  <si>
    <t>{"allDataRange":"$B$20:$D$520","cat_cols":[],"data_range":"","firstRow":-1,"forceConstTermToZero":false,"has_header":true,"input_cols":[{"varId":0,"varName":"GPA"}],"isPartitionSheet":true,"maxNumIterations":50,"numBestSubsets":2,"numOutputClasses":2,"output_var":{"varId":2,"varName":"Dropped"},"partitionData":false,"rows":500,"successClass":"1","successCutoffProb":0.50,"test_rows":0,"train_rows":300,"trainingDataRange":"$B$21:$D$320","useSuccessClass":true,"validationDataRange":"$B$321:$D$520","validation_rows":200,"weight_var":null,"wkbk":"Dana.xlsx","wksheet":"Data_Partition"}</t>
  </si>
  <si>
    <t>{"allDataRange":"$B$20:$D$520","cat_cols":[],"data_range":"","firstRow":-1,"forceConstTermToZero":false,"has_header":true,"input_cols":[{"varId":1,"varName":"Seminar"}],"isPartitionSheet":true,"maxNumIterations":50,"numBestSubsets":2,"numOutputClasses":2,"output_var":{"varId":2,"varName":"Dropped"},"partitionData":false,"rows":500,"successClass":"1","successCutoffProb":0.50,"test_rows":0,"train_rows":300,"trainingDataRange":"$B$21:$D$320","useSuccessClass":true,"validationDataRange":"$B$321:$D$520","validation_rows":200,"weight_var":null,"wkbk":"Dana.xlsx","wksheet":"Data_Partition"}</t>
  </si>
  <si>
    <t>{"allDataRange":"$B$20:$D$520","cat_cols":[],"data_range":"","firstRow":-1,"forceConstTermToZero":false,"has_header":true,"input_cols":[{"varId":0,"varName":"GPA"},{"varId":1,"varName":"Seminar"}],"isPartitionSheet":true,"maxNumIterations":50,"numBestSubsets":2,"numOutputClasses":2,"output_var":{"varId":2,"varName":"Dropped"},"partitionData":false,"rows":500,"successClass":"1","successCutoffProb":0.50,"test_rows":0,"train_rows":300,"trainingDataRange":"$B$21:$D$320","useSuccessClass":true,"validationDataRange":"$B$321:$D$520","validation_rows":200,"weight_var":null,"wkbk":"Dana.xlsx","wksheet":"Data_Partition"}</t>
  </si>
  <si>
    <t>Training Data Scoring - Summary Report</t>
  </si>
  <si>
    <t>Cutoff probability value for success (UPDATABLE)</t>
  </si>
  <si>
    <t>Updating the value here will NOT update value in detailed report</t>
  </si>
  <si>
    <t>Confusion Matrix</t>
  </si>
  <si>
    <t>Predicted Class</t>
  </si>
  <si>
    <t>Actual Class</t>
  </si>
  <si>
    <t>Error Report</t>
  </si>
  <si>
    <t># Cases</t>
  </si>
  <si>
    <t># Errors</t>
  </si>
  <si>
    <t>% Error</t>
  </si>
  <si>
    <t>Overall</t>
  </si>
  <si>
    <t>Performance</t>
  </si>
  <si>
    <t>Success Class</t>
  </si>
  <si>
    <t>Precision</t>
  </si>
  <si>
    <t>Recall (Sensitivity)</t>
  </si>
  <si>
    <t>Specificity</t>
  </si>
  <si>
    <t>F1-Score</t>
  </si>
  <si>
    <t>Validation Data Scoring - Summary Report</t>
  </si>
  <si>
    <t>Choose Subset</t>
  </si>
  <si>
    <t>1</t>
  </si>
  <si>
    <t>2</t>
  </si>
  <si>
    <t>3</t>
  </si>
  <si>
    <t>E5:F5</t>
  </si>
  <si>
    <t>E6:F6</t>
  </si>
  <si>
    <t>E7:F7</t>
  </si>
  <si>
    <t>E8:F8</t>
  </si>
  <si>
    <t>D10:E10</t>
  </si>
  <si>
    <t>Date: 24-Oct-2015 01:24:01</t>
  </si>
  <si>
    <t>Date: 24-Oct-2015 01:24:34</t>
  </si>
  <si>
    <t>Date: 24-Oct-2015 01:25:03</t>
  </si>
  <si>
    <t>Date: 24-Oct-2015 01:25:18</t>
  </si>
  <si>
    <t>High School GPA of Students in Seminars:</t>
  </si>
  <si>
    <t>High School GPA of Students Not in Seminars: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</si>
</sst>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13" x14ac:knownFonts="1">
    <font>
      <sz val="12"/>
      <name val="Times New Roman"/>
    </font>
    <font>
      <b/>
      <sz val="12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b/>
      <sz val="10"/>
      <color rgb="FF4169E1"/>
      <name val="Calibri"/>
      <family val="2"/>
    </font>
    <font>
      <b/>
      <sz val="14"/>
      <color rgb="FF4169E1"/>
      <name val="Calibri"/>
      <family val="2"/>
    </font>
    <font>
      <u/>
      <sz val="12"/>
      <color theme="10"/>
      <name val="Times New Roman"/>
      <family val="1"/>
    </font>
    <font>
      <b/>
      <sz val="14"/>
      <name val="Calibri"/>
      <family val="2"/>
    </font>
    <font>
      <b/>
      <sz val="10"/>
      <color rgb="FF000000"/>
      <name val="Calibri"/>
      <family val="2"/>
    </font>
    <font>
      <sz val="8"/>
      <color rgb="FF000000"/>
      <name val="Calibri"/>
      <family val="2"/>
    </font>
    <font>
      <sz val="8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  <fill>
      <patternFill patternType="solid">
        <fgColor rgb="FF538DD5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8" fillId="0" borderId="2" xfId="1" applyFill="1" applyBorder="1"/>
    <xf numFmtId="0" fontId="0" fillId="3" borderId="0" xfId="0" applyFill="1"/>
    <xf numFmtId="0" fontId="0" fillId="2" borderId="0" xfId="0" applyFill="1"/>
    <xf numFmtId="0" fontId="9" fillId="0" borderId="0" xfId="0" applyFont="1" applyAlignment="1">
      <alignment horizontal="left"/>
    </xf>
    <xf numFmtId="0" fontId="5" fillId="0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164" fontId="0" fillId="0" borderId="0" xfId="0" applyNumberFormat="1"/>
    <xf numFmtId="0" fontId="5" fillId="0" borderId="2" xfId="0" quotePrefix="1" applyFont="1" applyFill="1" applyBorder="1" applyAlignment="1">
      <alignment horizontal="left"/>
    </xf>
    <xf numFmtId="0" fontId="5" fillId="0" borderId="3" xfId="0" quotePrefix="1" applyFont="1" applyFill="1" applyBorder="1" applyAlignment="1">
      <alignment horizontal="left"/>
    </xf>
    <xf numFmtId="0" fontId="5" fillId="0" borderId="4" xfId="0" quotePrefix="1" applyFont="1" applyFill="1" applyBorder="1" applyAlignment="1">
      <alignment horizontal="left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8" fillId="0" borderId="0" xfId="1"/>
    <xf numFmtId="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LastYear!$B$2:$B$501</c:f>
              <c:numCache>
                <c:formatCode>0.00</c:formatCode>
                <c:ptCount val="500"/>
                <c:pt idx="0">
                  <c:v>3.78</c:v>
                </c:pt>
                <c:pt idx="1">
                  <c:v>2.38</c:v>
                </c:pt>
                <c:pt idx="2">
                  <c:v>3.05</c:v>
                </c:pt>
                <c:pt idx="3">
                  <c:v>2.19</c:v>
                </c:pt>
                <c:pt idx="4">
                  <c:v>3.22</c:v>
                </c:pt>
                <c:pt idx="5">
                  <c:v>2.68</c:v>
                </c:pt>
                <c:pt idx="6">
                  <c:v>2.72</c:v>
                </c:pt>
                <c:pt idx="7">
                  <c:v>2.69</c:v>
                </c:pt>
                <c:pt idx="8">
                  <c:v>2.81</c:v>
                </c:pt>
                <c:pt idx="9">
                  <c:v>3.53</c:v>
                </c:pt>
                <c:pt idx="10">
                  <c:v>3.12</c:v>
                </c:pt>
                <c:pt idx="11">
                  <c:v>2.96</c:v>
                </c:pt>
                <c:pt idx="12">
                  <c:v>3.01</c:v>
                </c:pt>
                <c:pt idx="13">
                  <c:v>2.7</c:v>
                </c:pt>
                <c:pt idx="14">
                  <c:v>2.4700000000000002</c:v>
                </c:pt>
                <c:pt idx="15">
                  <c:v>2.37</c:v>
                </c:pt>
                <c:pt idx="16">
                  <c:v>2.2799999999999998</c:v>
                </c:pt>
                <c:pt idx="17">
                  <c:v>2.76</c:v>
                </c:pt>
                <c:pt idx="18">
                  <c:v>2.2400000000000002</c:v>
                </c:pt>
                <c:pt idx="19">
                  <c:v>3.1</c:v>
                </c:pt>
                <c:pt idx="20">
                  <c:v>2.86</c:v>
                </c:pt>
                <c:pt idx="21">
                  <c:v>2.62</c:v>
                </c:pt>
                <c:pt idx="22">
                  <c:v>3.07</c:v>
                </c:pt>
                <c:pt idx="23">
                  <c:v>2.1800000000000002</c:v>
                </c:pt>
                <c:pt idx="24">
                  <c:v>3.3</c:v>
                </c:pt>
                <c:pt idx="25">
                  <c:v>2.4300000000000002</c:v>
                </c:pt>
                <c:pt idx="26">
                  <c:v>2.38</c:v>
                </c:pt>
                <c:pt idx="27">
                  <c:v>2.98</c:v>
                </c:pt>
                <c:pt idx="28">
                  <c:v>2.63</c:v>
                </c:pt>
                <c:pt idx="29">
                  <c:v>4</c:v>
                </c:pt>
                <c:pt idx="30">
                  <c:v>2.21</c:v>
                </c:pt>
                <c:pt idx="31">
                  <c:v>2.6799999999999997</c:v>
                </c:pt>
                <c:pt idx="32">
                  <c:v>2.62</c:v>
                </c:pt>
                <c:pt idx="33">
                  <c:v>2.65</c:v>
                </c:pt>
                <c:pt idx="34">
                  <c:v>2.82</c:v>
                </c:pt>
                <c:pt idx="35">
                  <c:v>3.77</c:v>
                </c:pt>
                <c:pt idx="36">
                  <c:v>2.38</c:v>
                </c:pt>
                <c:pt idx="37">
                  <c:v>3.11</c:v>
                </c:pt>
                <c:pt idx="38">
                  <c:v>2.82</c:v>
                </c:pt>
                <c:pt idx="39">
                  <c:v>2.16</c:v>
                </c:pt>
                <c:pt idx="40">
                  <c:v>2.66</c:v>
                </c:pt>
                <c:pt idx="41">
                  <c:v>3.33</c:v>
                </c:pt>
                <c:pt idx="42">
                  <c:v>2.77</c:v>
                </c:pt>
                <c:pt idx="43">
                  <c:v>4</c:v>
                </c:pt>
                <c:pt idx="44">
                  <c:v>2.33</c:v>
                </c:pt>
                <c:pt idx="45">
                  <c:v>3.41</c:v>
                </c:pt>
                <c:pt idx="46">
                  <c:v>2.9299999999999997</c:v>
                </c:pt>
                <c:pt idx="47">
                  <c:v>3.06</c:v>
                </c:pt>
                <c:pt idx="48">
                  <c:v>3.98</c:v>
                </c:pt>
                <c:pt idx="49">
                  <c:v>3.24</c:v>
                </c:pt>
                <c:pt idx="50">
                  <c:v>3.22</c:v>
                </c:pt>
                <c:pt idx="51">
                  <c:v>3.05</c:v>
                </c:pt>
                <c:pt idx="52">
                  <c:v>2.66</c:v>
                </c:pt>
                <c:pt idx="53">
                  <c:v>2.88</c:v>
                </c:pt>
                <c:pt idx="54">
                  <c:v>2.6</c:v>
                </c:pt>
                <c:pt idx="55">
                  <c:v>3.12</c:v>
                </c:pt>
                <c:pt idx="56">
                  <c:v>3.12</c:v>
                </c:pt>
                <c:pt idx="57">
                  <c:v>2.72</c:v>
                </c:pt>
                <c:pt idx="58">
                  <c:v>3.38</c:v>
                </c:pt>
                <c:pt idx="59">
                  <c:v>3.29</c:v>
                </c:pt>
                <c:pt idx="60">
                  <c:v>3.49</c:v>
                </c:pt>
                <c:pt idx="61">
                  <c:v>2.89</c:v>
                </c:pt>
                <c:pt idx="62">
                  <c:v>2.46</c:v>
                </c:pt>
                <c:pt idx="63">
                  <c:v>2.8499999999999996</c:v>
                </c:pt>
                <c:pt idx="64">
                  <c:v>2.77</c:v>
                </c:pt>
                <c:pt idx="65">
                  <c:v>2.61</c:v>
                </c:pt>
                <c:pt idx="66">
                  <c:v>2.44</c:v>
                </c:pt>
                <c:pt idx="67">
                  <c:v>3.1</c:v>
                </c:pt>
                <c:pt idx="68">
                  <c:v>3.87</c:v>
                </c:pt>
                <c:pt idx="69">
                  <c:v>3.25</c:v>
                </c:pt>
                <c:pt idx="70">
                  <c:v>2.44</c:v>
                </c:pt>
                <c:pt idx="71">
                  <c:v>2.66</c:v>
                </c:pt>
                <c:pt idx="72">
                  <c:v>3.06</c:v>
                </c:pt>
                <c:pt idx="73">
                  <c:v>2.75</c:v>
                </c:pt>
                <c:pt idx="74">
                  <c:v>3.65</c:v>
                </c:pt>
                <c:pt idx="75">
                  <c:v>2.61</c:v>
                </c:pt>
                <c:pt idx="76">
                  <c:v>3.41</c:v>
                </c:pt>
                <c:pt idx="77">
                  <c:v>2.91</c:v>
                </c:pt>
                <c:pt idx="78">
                  <c:v>2.15</c:v>
                </c:pt>
                <c:pt idx="79">
                  <c:v>2.4900000000000002</c:v>
                </c:pt>
                <c:pt idx="80">
                  <c:v>3.45</c:v>
                </c:pt>
                <c:pt idx="81">
                  <c:v>2.9299999999999997</c:v>
                </c:pt>
                <c:pt idx="82">
                  <c:v>2.2200000000000002</c:v>
                </c:pt>
                <c:pt idx="83">
                  <c:v>2.5099999999999998</c:v>
                </c:pt>
                <c:pt idx="84">
                  <c:v>2.99</c:v>
                </c:pt>
                <c:pt idx="85">
                  <c:v>3.48</c:v>
                </c:pt>
                <c:pt idx="86">
                  <c:v>2.75</c:v>
                </c:pt>
                <c:pt idx="87">
                  <c:v>3.71</c:v>
                </c:pt>
                <c:pt idx="88">
                  <c:v>2.11</c:v>
                </c:pt>
                <c:pt idx="89">
                  <c:v>2.86</c:v>
                </c:pt>
                <c:pt idx="90">
                  <c:v>2.87</c:v>
                </c:pt>
                <c:pt idx="91">
                  <c:v>2.64</c:v>
                </c:pt>
                <c:pt idx="92">
                  <c:v>2.56</c:v>
                </c:pt>
                <c:pt idx="93">
                  <c:v>3.48</c:v>
                </c:pt>
                <c:pt idx="94">
                  <c:v>3.04</c:v>
                </c:pt>
                <c:pt idx="95">
                  <c:v>2.25</c:v>
                </c:pt>
                <c:pt idx="96">
                  <c:v>2.54</c:v>
                </c:pt>
                <c:pt idx="97">
                  <c:v>2.57</c:v>
                </c:pt>
                <c:pt idx="98">
                  <c:v>2.65</c:v>
                </c:pt>
                <c:pt idx="99">
                  <c:v>3.85</c:v>
                </c:pt>
                <c:pt idx="100">
                  <c:v>3.04</c:v>
                </c:pt>
                <c:pt idx="101">
                  <c:v>2.69</c:v>
                </c:pt>
                <c:pt idx="102">
                  <c:v>3.06</c:v>
                </c:pt>
                <c:pt idx="103">
                  <c:v>3.05</c:v>
                </c:pt>
                <c:pt idx="104">
                  <c:v>3.37</c:v>
                </c:pt>
                <c:pt idx="105">
                  <c:v>2.5299999999999998</c:v>
                </c:pt>
                <c:pt idx="106">
                  <c:v>3.34</c:v>
                </c:pt>
                <c:pt idx="107">
                  <c:v>3.2</c:v>
                </c:pt>
                <c:pt idx="108">
                  <c:v>3.12</c:v>
                </c:pt>
                <c:pt idx="109">
                  <c:v>2.9</c:v>
                </c:pt>
                <c:pt idx="110">
                  <c:v>2.5</c:v>
                </c:pt>
                <c:pt idx="111">
                  <c:v>3.27</c:v>
                </c:pt>
                <c:pt idx="112">
                  <c:v>2.73</c:v>
                </c:pt>
                <c:pt idx="113">
                  <c:v>2.7</c:v>
                </c:pt>
                <c:pt idx="114">
                  <c:v>2.29</c:v>
                </c:pt>
                <c:pt idx="115">
                  <c:v>2.79</c:v>
                </c:pt>
                <c:pt idx="116">
                  <c:v>2.88</c:v>
                </c:pt>
                <c:pt idx="117">
                  <c:v>2.34</c:v>
                </c:pt>
                <c:pt idx="118">
                  <c:v>3.4</c:v>
                </c:pt>
                <c:pt idx="119">
                  <c:v>2.62</c:v>
                </c:pt>
                <c:pt idx="120">
                  <c:v>3.41</c:v>
                </c:pt>
                <c:pt idx="121">
                  <c:v>2.62</c:v>
                </c:pt>
                <c:pt idx="122">
                  <c:v>2.64</c:v>
                </c:pt>
                <c:pt idx="123">
                  <c:v>2.63</c:v>
                </c:pt>
                <c:pt idx="124">
                  <c:v>2.75</c:v>
                </c:pt>
                <c:pt idx="125">
                  <c:v>3.34</c:v>
                </c:pt>
                <c:pt idx="126">
                  <c:v>2.63</c:v>
                </c:pt>
                <c:pt idx="127">
                  <c:v>2.14</c:v>
                </c:pt>
                <c:pt idx="128">
                  <c:v>3.06</c:v>
                </c:pt>
                <c:pt idx="129">
                  <c:v>3.05</c:v>
                </c:pt>
                <c:pt idx="130">
                  <c:v>2.35</c:v>
                </c:pt>
                <c:pt idx="131">
                  <c:v>2.83</c:v>
                </c:pt>
                <c:pt idx="132">
                  <c:v>3.35</c:v>
                </c:pt>
                <c:pt idx="133">
                  <c:v>3.33</c:v>
                </c:pt>
                <c:pt idx="134">
                  <c:v>2.17</c:v>
                </c:pt>
                <c:pt idx="135">
                  <c:v>2.16</c:v>
                </c:pt>
                <c:pt idx="136">
                  <c:v>3.33</c:v>
                </c:pt>
                <c:pt idx="137">
                  <c:v>2.56</c:v>
                </c:pt>
                <c:pt idx="138">
                  <c:v>3.19</c:v>
                </c:pt>
                <c:pt idx="139">
                  <c:v>2.95</c:v>
                </c:pt>
                <c:pt idx="140">
                  <c:v>2.4</c:v>
                </c:pt>
                <c:pt idx="141">
                  <c:v>2.5099999999999998</c:v>
                </c:pt>
                <c:pt idx="142">
                  <c:v>2.86</c:v>
                </c:pt>
                <c:pt idx="143">
                  <c:v>2.12</c:v>
                </c:pt>
                <c:pt idx="144">
                  <c:v>2.69</c:v>
                </c:pt>
                <c:pt idx="145">
                  <c:v>3.12</c:v>
                </c:pt>
                <c:pt idx="146">
                  <c:v>2.16</c:v>
                </c:pt>
                <c:pt idx="147">
                  <c:v>3.38</c:v>
                </c:pt>
                <c:pt idx="148">
                  <c:v>2.33</c:v>
                </c:pt>
                <c:pt idx="149">
                  <c:v>2.82</c:v>
                </c:pt>
                <c:pt idx="150">
                  <c:v>2.5499999999999998</c:v>
                </c:pt>
                <c:pt idx="151">
                  <c:v>3.31</c:v>
                </c:pt>
                <c:pt idx="152">
                  <c:v>3.04</c:v>
                </c:pt>
                <c:pt idx="153">
                  <c:v>3.23</c:v>
                </c:pt>
                <c:pt idx="154">
                  <c:v>2.74</c:v>
                </c:pt>
                <c:pt idx="155">
                  <c:v>2.78</c:v>
                </c:pt>
                <c:pt idx="156">
                  <c:v>2.74</c:v>
                </c:pt>
                <c:pt idx="157">
                  <c:v>3.39</c:v>
                </c:pt>
                <c:pt idx="158">
                  <c:v>2.02</c:v>
                </c:pt>
                <c:pt idx="159">
                  <c:v>3.1</c:v>
                </c:pt>
                <c:pt idx="160">
                  <c:v>2.56</c:v>
                </c:pt>
                <c:pt idx="161">
                  <c:v>3.3</c:v>
                </c:pt>
                <c:pt idx="162">
                  <c:v>3.84</c:v>
                </c:pt>
                <c:pt idx="163">
                  <c:v>3.48</c:v>
                </c:pt>
                <c:pt idx="164">
                  <c:v>3.16</c:v>
                </c:pt>
                <c:pt idx="165">
                  <c:v>2.6399999999999997</c:v>
                </c:pt>
                <c:pt idx="166">
                  <c:v>2.63</c:v>
                </c:pt>
                <c:pt idx="167">
                  <c:v>3.69</c:v>
                </c:pt>
                <c:pt idx="168">
                  <c:v>2.11</c:v>
                </c:pt>
                <c:pt idx="169">
                  <c:v>2.4900000000000002</c:v>
                </c:pt>
                <c:pt idx="170">
                  <c:v>3.03</c:v>
                </c:pt>
                <c:pt idx="171">
                  <c:v>2.72</c:v>
                </c:pt>
                <c:pt idx="172">
                  <c:v>3.01</c:v>
                </c:pt>
                <c:pt idx="173">
                  <c:v>2.33</c:v>
                </c:pt>
                <c:pt idx="174">
                  <c:v>3.16</c:v>
                </c:pt>
                <c:pt idx="175">
                  <c:v>2.54</c:v>
                </c:pt>
                <c:pt idx="176">
                  <c:v>2.77</c:v>
                </c:pt>
                <c:pt idx="177">
                  <c:v>2.5299999999999998</c:v>
                </c:pt>
                <c:pt idx="178">
                  <c:v>2.0099999999999998</c:v>
                </c:pt>
                <c:pt idx="179">
                  <c:v>2.85</c:v>
                </c:pt>
                <c:pt idx="180">
                  <c:v>2.94</c:v>
                </c:pt>
                <c:pt idx="181">
                  <c:v>3.81</c:v>
                </c:pt>
                <c:pt idx="182">
                  <c:v>3.71</c:v>
                </c:pt>
                <c:pt idx="183">
                  <c:v>2.46</c:v>
                </c:pt>
                <c:pt idx="184">
                  <c:v>2.68</c:v>
                </c:pt>
                <c:pt idx="185">
                  <c:v>2.58</c:v>
                </c:pt>
                <c:pt idx="186">
                  <c:v>2.7</c:v>
                </c:pt>
                <c:pt idx="187">
                  <c:v>2.75</c:v>
                </c:pt>
                <c:pt idx="188">
                  <c:v>2.5299999999999998</c:v>
                </c:pt>
                <c:pt idx="189">
                  <c:v>3.08</c:v>
                </c:pt>
                <c:pt idx="190">
                  <c:v>3.13</c:v>
                </c:pt>
                <c:pt idx="191">
                  <c:v>2.78</c:v>
                </c:pt>
                <c:pt idx="192">
                  <c:v>3.23</c:v>
                </c:pt>
                <c:pt idx="193">
                  <c:v>2.94</c:v>
                </c:pt>
                <c:pt idx="194">
                  <c:v>3.25</c:v>
                </c:pt>
                <c:pt idx="195">
                  <c:v>3.17</c:v>
                </c:pt>
                <c:pt idx="196">
                  <c:v>2.58</c:v>
                </c:pt>
                <c:pt idx="197">
                  <c:v>2.52</c:v>
                </c:pt>
                <c:pt idx="198">
                  <c:v>3.04</c:v>
                </c:pt>
                <c:pt idx="199">
                  <c:v>2.4</c:v>
                </c:pt>
                <c:pt idx="200">
                  <c:v>3.27</c:v>
                </c:pt>
                <c:pt idx="201">
                  <c:v>2.5700000000000003</c:v>
                </c:pt>
                <c:pt idx="202">
                  <c:v>3.17</c:v>
                </c:pt>
                <c:pt idx="203">
                  <c:v>2.16</c:v>
                </c:pt>
                <c:pt idx="204">
                  <c:v>3.64</c:v>
                </c:pt>
                <c:pt idx="205">
                  <c:v>2.4</c:v>
                </c:pt>
                <c:pt idx="206">
                  <c:v>2.61</c:v>
                </c:pt>
                <c:pt idx="207">
                  <c:v>3.91</c:v>
                </c:pt>
                <c:pt idx="208">
                  <c:v>3.03</c:v>
                </c:pt>
                <c:pt idx="209">
                  <c:v>2.77</c:v>
                </c:pt>
                <c:pt idx="210">
                  <c:v>2.8499999999999996</c:v>
                </c:pt>
                <c:pt idx="211">
                  <c:v>2.91</c:v>
                </c:pt>
                <c:pt idx="212">
                  <c:v>2.46</c:v>
                </c:pt>
                <c:pt idx="213">
                  <c:v>3.14</c:v>
                </c:pt>
                <c:pt idx="214">
                  <c:v>2.93</c:v>
                </c:pt>
                <c:pt idx="215">
                  <c:v>2.68</c:v>
                </c:pt>
                <c:pt idx="216">
                  <c:v>3.17</c:v>
                </c:pt>
                <c:pt idx="217">
                  <c:v>2.46</c:v>
                </c:pt>
                <c:pt idx="218">
                  <c:v>3.45</c:v>
                </c:pt>
                <c:pt idx="219">
                  <c:v>2.64</c:v>
                </c:pt>
                <c:pt idx="220">
                  <c:v>3.21</c:v>
                </c:pt>
                <c:pt idx="221">
                  <c:v>2.5300000000000002</c:v>
                </c:pt>
                <c:pt idx="222">
                  <c:v>2.99</c:v>
                </c:pt>
                <c:pt idx="223">
                  <c:v>3.21</c:v>
                </c:pt>
                <c:pt idx="224">
                  <c:v>3.2</c:v>
                </c:pt>
                <c:pt idx="225">
                  <c:v>3.25</c:v>
                </c:pt>
                <c:pt idx="226">
                  <c:v>2.57</c:v>
                </c:pt>
                <c:pt idx="227">
                  <c:v>2.35</c:v>
                </c:pt>
                <c:pt idx="228">
                  <c:v>2.85</c:v>
                </c:pt>
                <c:pt idx="229">
                  <c:v>3.02</c:v>
                </c:pt>
                <c:pt idx="230">
                  <c:v>2.08</c:v>
                </c:pt>
                <c:pt idx="231">
                  <c:v>2.9</c:v>
                </c:pt>
                <c:pt idx="232">
                  <c:v>2.3199999999999998</c:v>
                </c:pt>
                <c:pt idx="233">
                  <c:v>2.31</c:v>
                </c:pt>
                <c:pt idx="234">
                  <c:v>2.67</c:v>
                </c:pt>
                <c:pt idx="235">
                  <c:v>2.59</c:v>
                </c:pt>
                <c:pt idx="236">
                  <c:v>3.64</c:v>
                </c:pt>
                <c:pt idx="237">
                  <c:v>2.59</c:v>
                </c:pt>
                <c:pt idx="238">
                  <c:v>2.7</c:v>
                </c:pt>
                <c:pt idx="239">
                  <c:v>2.2400000000000002</c:v>
                </c:pt>
                <c:pt idx="240">
                  <c:v>3.08</c:v>
                </c:pt>
                <c:pt idx="241">
                  <c:v>3.12</c:v>
                </c:pt>
                <c:pt idx="242">
                  <c:v>2.5499999999999998</c:v>
                </c:pt>
                <c:pt idx="243">
                  <c:v>2.59</c:v>
                </c:pt>
                <c:pt idx="244">
                  <c:v>2.66</c:v>
                </c:pt>
                <c:pt idx="245">
                  <c:v>2.86</c:v>
                </c:pt>
                <c:pt idx="246">
                  <c:v>2.75</c:v>
                </c:pt>
                <c:pt idx="247">
                  <c:v>2.0499999999999998</c:v>
                </c:pt>
                <c:pt idx="248">
                  <c:v>2.7</c:v>
                </c:pt>
                <c:pt idx="249">
                  <c:v>3.78</c:v>
                </c:pt>
                <c:pt idx="250">
                  <c:v>3.11</c:v>
                </c:pt>
                <c:pt idx="251">
                  <c:v>2.2599999999999998</c:v>
                </c:pt>
                <c:pt idx="252">
                  <c:v>2.4</c:v>
                </c:pt>
                <c:pt idx="253">
                  <c:v>3.4</c:v>
                </c:pt>
                <c:pt idx="254">
                  <c:v>3.62</c:v>
                </c:pt>
                <c:pt idx="255">
                  <c:v>3.46</c:v>
                </c:pt>
                <c:pt idx="256">
                  <c:v>2.2400000000000002</c:v>
                </c:pt>
                <c:pt idx="257">
                  <c:v>2.4</c:v>
                </c:pt>
                <c:pt idx="258">
                  <c:v>3.8</c:v>
                </c:pt>
                <c:pt idx="259">
                  <c:v>2.74</c:v>
                </c:pt>
                <c:pt idx="260">
                  <c:v>2.77</c:v>
                </c:pt>
                <c:pt idx="261">
                  <c:v>2.11</c:v>
                </c:pt>
                <c:pt idx="262">
                  <c:v>2.86</c:v>
                </c:pt>
                <c:pt idx="263">
                  <c:v>2.33</c:v>
                </c:pt>
                <c:pt idx="264">
                  <c:v>3.38</c:v>
                </c:pt>
                <c:pt idx="265">
                  <c:v>3.64</c:v>
                </c:pt>
                <c:pt idx="266">
                  <c:v>3.07</c:v>
                </c:pt>
                <c:pt idx="267">
                  <c:v>2.08</c:v>
                </c:pt>
                <c:pt idx="268">
                  <c:v>3.23</c:v>
                </c:pt>
                <c:pt idx="269">
                  <c:v>2.63</c:v>
                </c:pt>
                <c:pt idx="270">
                  <c:v>2.79</c:v>
                </c:pt>
                <c:pt idx="271">
                  <c:v>2.41</c:v>
                </c:pt>
                <c:pt idx="272">
                  <c:v>2.63</c:v>
                </c:pt>
                <c:pt idx="273">
                  <c:v>3.5</c:v>
                </c:pt>
                <c:pt idx="274">
                  <c:v>3.41</c:v>
                </c:pt>
                <c:pt idx="275">
                  <c:v>3.29</c:v>
                </c:pt>
                <c:pt idx="276">
                  <c:v>3.42</c:v>
                </c:pt>
                <c:pt idx="277">
                  <c:v>2.69</c:v>
                </c:pt>
                <c:pt idx="278">
                  <c:v>3.2</c:v>
                </c:pt>
                <c:pt idx="279">
                  <c:v>2.99</c:v>
                </c:pt>
                <c:pt idx="280">
                  <c:v>2.8</c:v>
                </c:pt>
                <c:pt idx="281">
                  <c:v>3.23</c:v>
                </c:pt>
                <c:pt idx="282">
                  <c:v>3.41</c:v>
                </c:pt>
                <c:pt idx="283">
                  <c:v>2.54</c:v>
                </c:pt>
                <c:pt idx="284">
                  <c:v>2.62</c:v>
                </c:pt>
                <c:pt idx="285">
                  <c:v>2.8899999999999997</c:v>
                </c:pt>
                <c:pt idx="286">
                  <c:v>2.63</c:v>
                </c:pt>
                <c:pt idx="287">
                  <c:v>3.25</c:v>
                </c:pt>
                <c:pt idx="288">
                  <c:v>2.79</c:v>
                </c:pt>
                <c:pt idx="289">
                  <c:v>2.95</c:v>
                </c:pt>
                <c:pt idx="290">
                  <c:v>2.6</c:v>
                </c:pt>
                <c:pt idx="291">
                  <c:v>2.17</c:v>
                </c:pt>
                <c:pt idx="292">
                  <c:v>3.16</c:v>
                </c:pt>
                <c:pt idx="293">
                  <c:v>2.6799999999999997</c:v>
                </c:pt>
                <c:pt idx="294">
                  <c:v>2.7800000000000002</c:v>
                </c:pt>
                <c:pt idx="295">
                  <c:v>3.06</c:v>
                </c:pt>
                <c:pt idx="296">
                  <c:v>3.37</c:v>
                </c:pt>
                <c:pt idx="297">
                  <c:v>3.31</c:v>
                </c:pt>
                <c:pt idx="298">
                  <c:v>2.9</c:v>
                </c:pt>
                <c:pt idx="299">
                  <c:v>2.9299999999999997</c:v>
                </c:pt>
                <c:pt idx="300">
                  <c:v>2.95</c:v>
                </c:pt>
                <c:pt idx="301">
                  <c:v>2.93</c:v>
                </c:pt>
                <c:pt idx="302">
                  <c:v>2.17</c:v>
                </c:pt>
                <c:pt idx="303">
                  <c:v>2.4300000000000002</c:v>
                </c:pt>
                <c:pt idx="304">
                  <c:v>2.71</c:v>
                </c:pt>
                <c:pt idx="305">
                  <c:v>3.26</c:v>
                </c:pt>
                <c:pt idx="306">
                  <c:v>2.8200000000000003</c:v>
                </c:pt>
                <c:pt idx="307">
                  <c:v>2.2599999999999998</c:v>
                </c:pt>
                <c:pt idx="308">
                  <c:v>2.4</c:v>
                </c:pt>
                <c:pt idx="309">
                  <c:v>3.17</c:v>
                </c:pt>
                <c:pt idx="310">
                  <c:v>2.79</c:v>
                </c:pt>
                <c:pt idx="311">
                  <c:v>2.35</c:v>
                </c:pt>
                <c:pt idx="312">
                  <c:v>2.83</c:v>
                </c:pt>
                <c:pt idx="313">
                  <c:v>3.74</c:v>
                </c:pt>
                <c:pt idx="314">
                  <c:v>2.25</c:v>
                </c:pt>
                <c:pt idx="315">
                  <c:v>2.4700000000000002</c:v>
                </c:pt>
                <c:pt idx="316">
                  <c:v>2.88</c:v>
                </c:pt>
                <c:pt idx="317">
                  <c:v>2.87</c:v>
                </c:pt>
                <c:pt idx="318">
                  <c:v>3.15</c:v>
                </c:pt>
                <c:pt idx="319">
                  <c:v>2.79</c:v>
                </c:pt>
                <c:pt idx="320">
                  <c:v>3.19</c:v>
                </c:pt>
                <c:pt idx="321">
                  <c:v>2.66</c:v>
                </c:pt>
                <c:pt idx="322">
                  <c:v>2.19</c:v>
                </c:pt>
                <c:pt idx="323">
                  <c:v>2.13</c:v>
                </c:pt>
                <c:pt idx="324">
                  <c:v>3.15</c:v>
                </c:pt>
                <c:pt idx="325">
                  <c:v>3.67</c:v>
                </c:pt>
                <c:pt idx="326">
                  <c:v>2.41</c:v>
                </c:pt>
                <c:pt idx="327">
                  <c:v>2.95</c:v>
                </c:pt>
                <c:pt idx="328">
                  <c:v>2.84</c:v>
                </c:pt>
                <c:pt idx="329">
                  <c:v>3.14</c:v>
                </c:pt>
                <c:pt idx="330">
                  <c:v>3.61</c:v>
                </c:pt>
                <c:pt idx="331">
                  <c:v>2.85</c:v>
                </c:pt>
                <c:pt idx="332">
                  <c:v>2.42</c:v>
                </c:pt>
                <c:pt idx="333">
                  <c:v>3.0300000000000002</c:v>
                </c:pt>
                <c:pt idx="334">
                  <c:v>2.86</c:v>
                </c:pt>
                <c:pt idx="335">
                  <c:v>3.1</c:v>
                </c:pt>
                <c:pt idx="336">
                  <c:v>3.55</c:v>
                </c:pt>
                <c:pt idx="337">
                  <c:v>2.57</c:v>
                </c:pt>
                <c:pt idx="338">
                  <c:v>2.42</c:v>
                </c:pt>
                <c:pt idx="339">
                  <c:v>3.01</c:v>
                </c:pt>
                <c:pt idx="340">
                  <c:v>2.4700000000000002</c:v>
                </c:pt>
                <c:pt idx="341">
                  <c:v>3.01</c:v>
                </c:pt>
                <c:pt idx="342">
                  <c:v>2.81</c:v>
                </c:pt>
                <c:pt idx="343">
                  <c:v>2.0099999999999998</c:v>
                </c:pt>
                <c:pt idx="344">
                  <c:v>2.83</c:v>
                </c:pt>
                <c:pt idx="345">
                  <c:v>2.8200000000000003</c:v>
                </c:pt>
                <c:pt idx="346">
                  <c:v>2.34</c:v>
                </c:pt>
                <c:pt idx="347">
                  <c:v>3.02</c:v>
                </c:pt>
                <c:pt idx="348">
                  <c:v>2.46</c:v>
                </c:pt>
                <c:pt idx="349">
                  <c:v>3.1</c:v>
                </c:pt>
                <c:pt idx="350">
                  <c:v>2.63</c:v>
                </c:pt>
                <c:pt idx="351">
                  <c:v>3.68</c:v>
                </c:pt>
                <c:pt idx="352">
                  <c:v>3.25</c:v>
                </c:pt>
                <c:pt idx="353">
                  <c:v>3.35</c:v>
                </c:pt>
                <c:pt idx="354">
                  <c:v>2.96</c:v>
                </c:pt>
                <c:pt idx="355">
                  <c:v>2.57</c:v>
                </c:pt>
                <c:pt idx="356">
                  <c:v>2.2400000000000002</c:v>
                </c:pt>
                <c:pt idx="357">
                  <c:v>2.65</c:v>
                </c:pt>
                <c:pt idx="358">
                  <c:v>2.85</c:v>
                </c:pt>
                <c:pt idx="359">
                  <c:v>2.1</c:v>
                </c:pt>
                <c:pt idx="360">
                  <c:v>2.65</c:v>
                </c:pt>
                <c:pt idx="361">
                  <c:v>3.1399999999999997</c:v>
                </c:pt>
                <c:pt idx="362">
                  <c:v>2.62</c:v>
                </c:pt>
                <c:pt idx="363">
                  <c:v>2.1</c:v>
                </c:pt>
                <c:pt idx="364">
                  <c:v>2.75</c:v>
                </c:pt>
                <c:pt idx="365">
                  <c:v>3.59</c:v>
                </c:pt>
                <c:pt idx="366">
                  <c:v>2.65</c:v>
                </c:pt>
                <c:pt idx="367">
                  <c:v>2.57</c:v>
                </c:pt>
                <c:pt idx="368">
                  <c:v>3.53</c:v>
                </c:pt>
                <c:pt idx="369">
                  <c:v>2.52</c:v>
                </c:pt>
                <c:pt idx="370">
                  <c:v>2.14</c:v>
                </c:pt>
                <c:pt idx="371">
                  <c:v>2.9</c:v>
                </c:pt>
                <c:pt idx="372">
                  <c:v>3.78</c:v>
                </c:pt>
                <c:pt idx="373">
                  <c:v>3.65</c:v>
                </c:pt>
                <c:pt idx="374">
                  <c:v>2.92</c:v>
                </c:pt>
                <c:pt idx="375">
                  <c:v>2.17</c:v>
                </c:pt>
                <c:pt idx="376">
                  <c:v>2.41</c:v>
                </c:pt>
                <c:pt idx="377">
                  <c:v>2.8899999999999997</c:v>
                </c:pt>
                <c:pt idx="378">
                  <c:v>2.99</c:v>
                </c:pt>
                <c:pt idx="379">
                  <c:v>2.68</c:v>
                </c:pt>
                <c:pt idx="380">
                  <c:v>2.19</c:v>
                </c:pt>
                <c:pt idx="381">
                  <c:v>2.84</c:v>
                </c:pt>
                <c:pt idx="382">
                  <c:v>2.8</c:v>
                </c:pt>
                <c:pt idx="383">
                  <c:v>2.46</c:v>
                </c:pt>
                <c:pt idx="384">
                  <c:v>3.5</c:v>
                </c:pt>
                <c:pt idx="385">
                  <c:v>3.1</c:v>
                </c:pt>
                <c:pt idx="386">
                  <c:v>2.8200000000000003</c:v>
                </c:pt>
                <c:pt idx="387">
                  <c:v>2.4700000000000002</c:v>
                </c:pt>
                <c:pt idx="388">
                  <c:v>2.77</c:v>
                </c:pt>
                <c:pt idx="389">
                  <c:v>2.29</c:v>
                </c:pt>
                <c:pt idx="390">
                  <c:v>2.9299999999999997</c:v>
                </c:pt>
                <c:pt idx="391">
                  <c:v>2.83</c:v>
                </c:pt>
                <c:pt idx="392">
                  <c:v>2.72</c:v>
                </c:pt>
                <c:pt idx="393">
                  <c:v>2.82</c:v>
                </c:pt>
                <c:pt idx="394">
                  <c:v>2.14</c:v>
                </c:pt>
                <c:pt idx="395">
                  <c:v>2.1</c:v>
                </c:pt>
                <c:pt idx="396">
                  <c:v>2.54</c:v>
                </c:pt>
                <c:pt idx="397">
                  <c:v>2.7</c:v>
                </c:pt>
                <c:pt idx="398">
                  <c:v>3.48</c:v>
                </c:pt>
                <c:pt idx="399">
                  <c:v>2.77</c:v>
                </c:pt>
                <c:pt idx="400">
                  <c:v>2.4900000000000002</c:v>
                </c:pt>
                <c:pt idx="401">
                  <c:v>2.67</c:v>
                </c:pt>
                <c:pt idx="402">
                  <c:v>2.86</c:v>
                </c:pt>
                <c:pt idx="403">
                  <c:v>2.21</c:v>
                </c:pt>
                <c:pt idx="404">
                  <c:v>2.91</c:v>
                </c:pt>
                <c:pt idx="405">
                  <c:v>2.85</c:v>
                </c:pt>
                <c:pt idx="406">
                  <c:v>2.94</c:v>
                </c:pt>
                <c:pt idx="407">
                  <c:v>2.61</c:v>
                </c:pt>
                <c:pt idx="408">
                  <c:v>3.42</c:v>
                </c:pt>
                <c:pt idx="409">
                  <c:v>2.17</c:v>
                </c:pt>
                <c:pt idx="410">
                  <c:v>3.53</c:v>
                </c:pt>
                <c:pt idx="411">
                  <c:v>3.47</c:v>
                </c:pt>
                <c:pt idx="412">
                  <c:v>2.4900000000000002</c:v>
                </c:pt>
                <c:pt idx="413">
                  <c:v>2.62</c:v>
                </c:pt>
                <c:pt idx="414">
                  <c:v>2.27</c:v>
                </c:pt>
                <c:pt idx="415">
                  <c:v>2.64</c:v>
                </c:pt>
                <c:pt idx="416">
                  <c:v>3.03</c:v>
                </c:pt>
                <c:pt idx="417">
                  <c:v>2.5999999999999996</c:v>
                </c:pt>
                <c:pt idx="418">
                  <c:v>2.39</c:v>
                </c:pt>
                <c:pt idx="419">
                  <c:v>2.31</c:v>
                </c:pt>
                <c:pt idx="420">
                  <c:v>2.62</c:v>
                </c:pt>
                <c:pt idx="421">
                  <c:v>2.86</c:v>
                </c:pt>
                <c:pt idx="422">
                  <c:v>2.65</c:v>
                </c:pt>
                <c:pt idx="423">
                  <c:v>2.13</c:v>
                </c:pt>
                <c:pt idx="424">
                  <c:v>2.97</c:v>
                </c:pt>
                <c:pt idx="425">
                  <c:v>3.05</c:v>
                </c:pt>
                <c:pt idx="426">
                  <c:v>3</c:v>
                </c:pt>
                <c:pt idx="427">
                  <c:v>3.32</c:v>
                </c:pt>
                <c:pt idx="428">
                  <c:v>2.48</c:v>
                </c:pt>
                <c:pt idx="429">
                  <c:v>3.14</c:v>
                </c:pt>
                <c:pt idx="430">
                  <c:v>3.65</c:v>
                </c:pt>
                <c:pt idx="431">
                  <c:v>2.0099999999999998</c:v>
                </c:pt>
                <c:pt idx="432">
                  <c:v>3.67</c:v>
                </c:pt>
                <c:pt idx="433">
                  <c:v>2.3199999999999998</c:v>
                </c:pt>
                <c:pt idx="434">
                  <c:v>3.75</c:v>
                </c:pt>
                <c:pt idx="435">
                  <c:v>2.94</c:v>
                </c:pt>
                <c:pt idx="436">
                  <c:v>3.42</c:v>
                </c:pt>
                <c:pt idx="437">
                  <c:v>3.67</c:v>
                </c:pt>
                <c:pt idx="438">
                  <c:v>2.4</c:v>
                </c:pt>
                <c:pt idx="439">
                  <c:v>3.09</c:v>
                </c:pt>
                <c:pt idx="440">
                  <c:v>3.87</c:v>
                </c:pt>
                <c:pt idx="441">
                  <c:v>2.71</c:v>
                </c:pt>
                <c:pt idx="442">
                  <c:v>2.71</c:v>
                </c:pt>
                <c:pt idx="443">
                  <c:v>3.9</c:v>
                </c:pt>
                <c:pt idx="444">
                  <c:v>2.79</c:v>
                </c:pt>
                <c:pt idx="445">
                  <c:v>2.19</c:v>
                </c:pt>
                <c:pt idx="446">
                  <c:v>3.36</c:v>
                </c:pt>
                <c:pt idx="447">
                  <c:v>3.01</c:v>
                </c:pt>
                <c:pt idx="448">
                  <c:v>3.29</c:v>
                </c:pt>
                <c:pt idx="449">
                  <c:v>2.16</c:v>
                </c:pt>
                <c:pt idx="450">
                  <c:v>2.41</c:v>
                </c:pt>
                <c:pt idx="451">
                  <c:v>3.46</c:v>
                </c:pt>
                <c:pt idx="452">
                  <c:v>2.58</c:v>
                </c:pt>
                <c:pt idx="453">
                  <c:v>2.48</c:v>
                </c:pt>
                <c:pt idx="454">
                  <c:v>2.64</c:v>
                </c:pt>
                <c:pt idx="455">
                  <c:v>3.17</c:v>
                </c:pt>
                <c:pt idx="456">
                  <c:v>3.26</c:v>
                </c:pt>
                <c:pt idx="457">
                  <c:v>2.67</c:v>
                </c:pt>
                <c:pt idx="458">
                  <c:v>3.91</c:v>
                </c:pt>
                <c:pt idx="459">
                  <c:v>3.08</c:v>
                </c:pt>
                <c:pt idx="460">
                  <c:v>2.61</c:v>
                </c:pt>
                <c:pt idx="461">
                  <c:v>2.59</c:v>
                </c:pt>
                <c:pt idx="462">
                  <c:v>2.81</c:v>
                </c:pt>
                <c:pt idx="463">
                  <c:v>2.16</c:v>
                </c:pt>
                <c:pt idx="464">
                  <c:v>3.48</c:v>
                </c:pt>
                <c:pt idx="465">
                  <c:v>2.94</c:v>
                </c:pt>
                <c:pt idx="466">
                  <c:v>3.01</c:v>
                </c:pt>
                <c:pt idx="467">
                  <c:v>2.82</c:v>
                </c:pt>
                <c:pt idx="468">
                  <c:v>2.8</c:v>
                </c:pt>
                <c:pt idx="469">
                  <c:v>2.83</c:v>
                </c:pt>
                <c:pt idx="470">
                  <c:v>2.42</c:v>
                </c:pt>
                <c:pt idx="471">
                  <c:v>2.72</c:v>
                </c:pt>
                <c:pt idx="472">
                  <c:v>2.93</c:v>
                </c:pt>
                <c:pt idx="473">
                  <c:v>2.92</c:v>
                </c:pt>
                <c:pt idx="474">
                  <c:v>3.41</c:v>
                </c:pt>
                <c:pt idx="475">
                  <c:v>2.74</c:v>
                </c:pt>
                <c:pt idx="476">
                  <c:v>3.64</c:v>
                </c:pt>
                <c:pt idx="477">
                  <c:v>2.73</c:v>
                </c:pt>
                <c:pt idx="478">
                  <c:v>3.06</c:v>
                </c:pt>
                <c:pt idx="479">
                  <c:v>2.69</c:v>
                </c:pt>
                <c:pt idx="480">
                  <c:v>3.03</c:v>
                </c:pt>
                <c:pt idx="481">
                  <c:v>2.2799999999999998</c:v>
                </c:pt>
                <c:pt idx="482">
                  <c:v>2.0299999999999998</c:v>
                </c:pt>
                <c:pt idx="483">
                  <c:v>2.36</c:v>
                </c:pt>
                <c:pt idx="484">
                  <c:v>2.72</c:v>
                </c:pt>
                <c:pt idx="485">
                  <c:v>2.66</c:v>
                </c:pt>
                <c:pt idx="486">
                  <c:v>2.68</c:v>
                </c:pt>
                <c:pt idx="487">
                  <c:v>2.85</c:v>
                </c:pt>
                <c:pt idx="488">
                  <c:v>3.14</c:v>
                </c:pt>
                <c:pt idx="489">
                  <c:v>2.63</c:v>
                </c:pt>
                <c:pt idx="490">
                  <c:v>3.42</c:v>
                </c:pt>
                <c:pt idx="491">
                  <c:v>2.67</c:v>
                </c:pt>
                <c:pt idx="492">
                  <c:v>3.85</c:v>
                </c:pt>
                <c:pt idx="493">
                  <c:v>2.16</c:v>
                </c:pt>
                <c:pt idx="494">
                  <c:v>2.88</c:v>
                </c:pt>
                <c:pt idx="495">
                  <c:v>2.1</c:v>
                </c:pt>
                <c:pt idx="496">
                  <c:v>3.03</c:v>
                </c:pt>
                <c:pt idx="497">
                  <c:v>2.94</c:v>
                </c:pt>
                <c:pt idx="498">
                  <c:v>2.89</c:v>
                </c:pt>
                <c:pt idx="499">
                  <c:v>3.62</c:v>
                </c:pt>
              </c:numCache>
            </c:numRef>
          </c:xVal>
          <c:yVal>
            <c:numRef>
              <c:f>LastYear!$C$2:$C$501</c:f>
              <c:numCache>
                <c:formatCode>General</c:formatCode>
                <c:ptCount val="50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AB-498E-872E-D9EEF1039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139376"/>
        <c:axId val="420134800"/>
      </c:scatterChart>
      <c:valAx>
        <c:axId val="420139376"/>
        <c:scaling>
          <c:orientation val="minMax"/>
          <c:max val="4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GPA</a:t>
                </a:r>
              </a:p>
            </c:rich>
          </c:tx>
          <c:layout>
            <c:manualLayout>
              <c:xMode val="edge"/>
              <c:yMode val="edge"/>
              <c:x val="0.4779155730533683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134800"/>
        <c:crosses val="autoZero"/>
        <c:crossBetween val="midCat"/>
      </c:valAx>
      <c:valAx>
        <c:axId val="42013480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Seminar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139376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0.561326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LR_TrainingLiftChart1!$BZ$2:$BZ$146</c:f>
              <c:numCache>
                <c:formatCode>General</c:formatCode>
                <c:ptCount val="145"/>
                <c:pt idx="0">
                  <c:v>0</c:v>
                </c:pt>
                <c:pt idx="1">
                  <c:v>8.2987551867219917E-3</c:v>
                </c:pt>
                <c:pt idx="2">
                  <c:v>1.2448132780082987E-2</c:v>
                </c:pt>
                <c:pt idx="3">
                  <c:v>2.4896265560165973E-2</c:v>
                </c:pt>
                <c:pt idx="4">
                  <c:v>3.3195020746887967E-2</c:v>
                </c:pt>
                <c:pt idx="5">
                  <c:v>3.7344398340248962E-2</c:v>
                </c:pt>
                <c:pt idx="6">
                  <c:v>4.5643153526970952E-2</c:v>
                </c:pt>
                <c:pt idx="7">
                  <c:v>5.8091286307053944E-2</c:v>
                </c:pt>
                <c:pt idx="8">
                  <c:v>7.0539419087136929E-2</c:v>
                </c:pt>
                <c:pt idx="9">
                  <c:v>7.4688796680497924E-2</c:v>
                </c:pt>
                <c:pt idx="10">
                  <c:v>8.7136929460580909E-2</c:v>
                </c:pt>
                <c:pt idx="11">
                  <c:v>9.1286307053941904E-2</c:v>
                </c:pt>
                <c:pt idx="12">
                  <c:v>9.1286307053941904E-2</c:v>
                </c:pt>
                <c:pt idx="13">
                  <c:v>0.1037344398340249</c:v>
                </c:pt>
                <c:pt idx="14">
                  <c:v>0.1078838174273859</c:v>
                </c:pt>
                <c:pt idx="15">
                  <c:v>0.11618257261410789</c:v>
                </c:pt>
                <c:pt idx="16">
                  <c:v>0.12033195020746888</c:v>
                </c:pt>
                <c:pt idx="17">
                  <c:v>0.12448132780082988</c:v>
                </c:pt>
                <c:pt idx="18">
                  <c:v>0.13278008298755187</c:v>
                </c:pt>
                <c:pt idx="19">
                  <c:v>0.14107883817427386</c:v>
                </c:pt>
                <c:pt idx="20">
                  <c:v>0.14522821576763487</c:v>
                </c:pt>
                <c:pt idx="21">
                  <c:v>0.15352697095435686</c:v>
                </c:pt>
                <c:pt idx="22">
                  <c:v>0.15767634854771784</c:v>
                </c:pt>
                <c:pt idx="23">
                  <c:v>0.16182572614107885</c:v>
                </c:pt>
                <c:pt idx="24">
                  <c:v>0.17012448132780084</c:v>
                </c:pt>
                <c:pt idx="25">
                  <c:v>0.17842323651452283</c:v>
                </c:pt>
                <c:pt idx="26">
                  <c:v>0.19502074688796681</c:v>
                </c:pt>
                <c:pt idx="27">
                  <c:v>0.19917012448132779</c:v>
                </c:pt>
                <c:pt idx="28">
                  <c:v>0.2033195020746888</c:v>
                </c:pt>
                <c:pt idx="29">
                  <c:v>0.21991701244813278</c:v>
                </c:pt>
                <c:pt idx="30">
                  <c:v>0.23236514522821577</c:v>
                </c:pt>
                <c:pt idx="31">
                  <c:v>0.24066390041493776</c:v>
                </c:pt>
                <c:pt idx="32">
                  <c:v>0.24481327800829875</c:v>
                </c:pt>
                <c:pt idx="33">
                  <c:v>0.24896265560165975</c:v>
                </c:pt>
                <c:pt idx="34">
                  <c:v>0.25311203319502074</c:v>
                </c:pt>
                <c:pt idx="35">
                  <c:v>0.26141078838174275</c:v>
                </c:pt>
                <c:pt idx="36">
                  <c:v>0.26141078838174275</c:v>
                </c:pt>
                <c:pt idx="37">
                  <c:v>0.26556016597510373</c:v>
                </c:pt>
                <c:pt idx="38">
                  <c:v>0.26970954356846472</c:v>
                </c:pt>
                <c:pt idx="39">
                  <c:v>0.28215767634854771</c:v>
                </c:pt>
                <c:pt idx="40">
                  <c:v>0.28215767634854771</c:v>
                </c:pt>
                <c:pt idx="41">
                  <c:v>0.29045643153526973</c:v>
                </c:pt>
                <c:pt idx="42">
                  <c:v>0.30290456431535268</c:v>
                </c:pt>
                <c:pt idx="43">
                  <c:v>0.30705394190871371</c:v>
                </c:pt>
                <c:pt idx="44">
                  <c:v>0.31120331950207469</c:v>
                </c:pt>
                <c:pt idx="45">
                  <c:v>0.33195020746887965</c:v>
                </c:pt>
                <c:pt idx="46">
                  <c:v>0.35269709543568467</c:v>
                </c:pt>
                <c:pt idx="47">
                  <c:v>0.35269709543568467</c:v>
                </c:pt>
                <c:pt idx="48">
                  <c:v>0.37344398340248963</c:v>
                </c:pt>
                <c:pt idx="49">
                  <c:v>0.38174273858921159</c:v>
                </c:pt>
                <c:pt idx="50">
                  <c:v>0.38589211618257263</c:v>
                </c:pt>
                <c:pt idx="51">
                  <c:v>0.38589211618257263</c:v>
                </c:pt>
                <c:pt idx="52">
                  <c:v>0.39419087136929459</c:v>
                </c:pt>
                <c:pt idx="53">
                  <c:v>0.39419087136929459</c:v>
                </c:pt>
                <c:pt idx="54">
                  <c:v>0.40663900414937759</c:v>
                </c:pt>
                <c:pt idx="55">
                  <c:v>0.41078838174273857</c:v>
                </c:pt>
                <c:pt idx="56">
                  <c:v>0.42323651452282157</c:v>
                </c:pt>
                <c:pt idx="57">
                  <c:v>0.42738589211618255</c:v>
                </c:pt>
                <c:pt idx="58">
                  <c:v>0.43983402489626555</c:v>
                </c:pt>
                <c:pt idx="59">
                  <c:v>0.44398340248962653</c:v>
                </c:pt>
                <c:pt idx="60">
                  <c:v>0.44398340248962653</c:v>
                </c:pt>
                <c:pt idx="61">
                  <c:v>0.45228215767634855</c:v>
                </c:pt>
                <c:pt idx="62">
                  <c:v>0.46058091286307051</c:v>
                </c:pt>
                <c:pt idx="63">
                  <c:v>0.46058091286307051</c:v>
                </c:pt>
                <c:pt idx="64">
                  <c:v>0.47302904564315351</c:v>
                </c:pt>
                <c:pt idx="65">
                  <c:v>0.47302904564315351</c:v>
                </c:pt>
                <c:pt idx="66">
                  <c:v>0.48962655601659749</c:v>
                </c:pt>
                <c:pt idx="67">
                  <c:v>0.48962655601659749</c:v>
                </c:pt>
                <c:pt idx="68">
                  <c:v>0.49377593360995853</c:v>
                </c:pt>
                <c:pt idx="69">
                  <c:v>0.49792531120331951</c:v>
                </c:pt>
                <c:pt idx="70">
                  <c:v>0.49792531120331951</c:v>
                </c:pt>
                <c:pt idx="71">
                  <c:v>0.50622406639004147</c:v>
                </c:pt>
                <c:pt idx="72">
                  <c:v>0.52282157676348551</c:v>
                </c:pt>
                <c:pt idx="73">
                  <c:v>0.52697095435684649</c:v>
                </c:pt>
                <c:pt idx="74">
                  <c:v>0.53941908713692943</c:v>
                </c:pt>
                <c:pt idx="75">
                  <c:v>0.53941908713692943</c:v>
                </c:pt>
                <c:pt idx="76">
                  <c:v>0.5477178423236515</c:v>
                </c:pt>
                <c:pt idx="77">
                  <c:v>0.55601659751037347</c:v>
                </c:pt>
                <c:pt idx="78">
                  <c:v>0.56016597510373445</c:v>
                </c:pt>
                <c:pt idx="79">
                  <c:v>0.56016597510373445</c:v>
                </c:pt>
                <c:pt idx="80">
                  <c:v>0.56016597510373445</c:v>
                </c:pt>
                <c:pt idx="81">
                  <c:v>0.56846473029045641</c:v>
                </c:pt>
                <c:pt idx="82">
                  <c:v>0.57676348547717837</c:v>
                </c:pt>
                <c:pt idx="83">
                  <c:v>0.57676348547717837</c:v>
                </c:pt>
                <c:pt idx="84">
                  <c:v>0.58091286307053946</c:v>
                </c:pt>
                <c:pt idx="85">
                  <c:v>0.58091286307053946</c:v>
                </c:pt>
                <c:pt idx="86">
                  <c:v>0.58506224066390045</c:v>
                </c:pt>
                <c:pt idx="87">
                  <c:v>0.58921161825726143</c:v>
                </c:pt>
                <c:pt idx="88">
                  <c:v>0.60165975103734437</c:v>
                </c:pt>
                <c:pt idx="89">
                  <c:v>0.60995850622406644</c:v>
                </c:pt>
                <c:pt idx="90">
                  <c:v>0.62240663900414939</c:v>
                </c:pt>
                <c:pt idx="91">
                  <c:v>0.62240663900414939</c:v>
                </c:pt>
                <c:pt idx="92">
                  <c:v>0.63070539419087135</c:v>
                </c:pt>
                <c:pt idx="93">
                  <c:v>0.63485477178423233</c:v>
                </c:pt>
                <c:pt idx="94">
                  <c:v>0.65145228215767637</c:v>
                </c:pt>
                <c:pt idx="95">
                  <c:v>0.65975103734439833</c:v>
                </c:pt>
                <c:pt idx="96">
                  <c:v>0.66390041493775931</c:v>
                </c:pt>
                <c:pt idx="97">
                  <c:v>0.68049792531120334</c:v>
                </c:pt>
                <c:pt idx="98">
                  <c:v>0.70539419087136934</c:v>
                </c:pt>
                <c:pt idx="99">
                  <c:v>0.71784232365145229</c:v>
                </c:pt>
                <c:pt idx="100">
                  <c:v>0.71784232365145229</c:v>
                </c:pt>
                <c:pt idx="101">
                  <c:v>0.72614107883817425</c:v>
                </c:pt>
                <c:pt idx="102">
                  <c:v>0.73029045643153523</c:v>
                </c:pt>
                <c:pt idx="103">
                  <c:v>0.73443983402489632</c:v>
                </c:pt>
                <c:pt idx="104">
                  <c:v>0.74273858921161828</c:v>
                </c:pt>
                <c:pt idx="105">
                  <c:v>0.74688796680497926</c:v>
                </c:pt>
                <c:pt idx="106">
                  <c:v>0.75933609958506221</c:v>
                </c:pt>
                <c:pt idx="107">
                  <c:v>0.76348547717842319</c:v>
                </c:pt>
                <c:pt idx="108">
                  <c:v>0.77178423236514526</c:v>
                </c:pt>
                <c:pt idx="109">
                  <c:v>0.78008298755186722</c:v>
                </c:pt>
                <c:pt idx="110">
                  <c:v>0.78838174273858919</c:v>
                </c:pt>
                <c:pt idx="111">
                  <c:v>0.79253112033195017</c:v>
                </c:pt>
                <c:pt idx="112">
                  <c:v>0.79668049792531115</c:v>
                </c:pt>
                <c:pt idx="113">
                  <c:v>0.80497925311203322</c:v>
                </c:pt>
                <c:pt idx="114">
                  <c:v>0.8091286307053942</c:v>
                </c:pt>
                <c:pt idx="115">
                  <c:v>0.81327800829875518</c:v>
                </c:pt>
                <c:pt idx="116">
                  <c:v>0.81742738589211617</c:v>
                </c:pt>
                <c:pt idx="117">
                  <c:v>0.82572614107883813</c:v>
                </c:pt>
                <c:pt idx="118">
                  <c:v>0.8340248962655602</c:v>
                </c:pt>
                <c:pt idx="119">
                  <c:v>0.83817427385892118</c:v>
                </c:pt>
                <c:pt idx="120">
                  <c:v>0.84647302904564314</c:v>
                </c:pt>
                <c:pt idx="121">
                  <c:v>0.85477178423236511</c:v>
                </c:pt>
                <c:pt idx="122">
                  <c:v>0.87136929460580914</c:v>
                </c:pt>
                <c:pt idx="123">
                  <c:v>0.8796680497925311</c:v>
                </c:pt>
                <c:pt idx="124">
                  <c:v>0.88796680497925307</c:v>
                </c:pt>
                <c:pt idx="125">
                  <c:v>0.89211618257261416</c:v>
                </c:pt>
                <c:pt idx="126">
                  <c:v>0.9045643153526971</c:v>
                </c:pt>
                <c:pt idx="127">
                  <c:v>0.90871369294605808</c:v>
                </c:pt>
                <c:pt idx="128">
                  <c:v>0.91286307053941906</c:v>
                </c:pt>
                <c:pt idx="129">
                  <c:v>0.91701244813278004</c:v>
                </c:pt>
                <c:pt idx="130">
                  <c:v>0.92116182572614103</c:v>
                </c:pt>
                <c:pt idx="131">
                  <c:v>0.92531120331950212</c:v>
                </c:pt>
                <c:pt idx="132">
                  <c:v>0.93775933609958506</c:v>
                </c:pt>
                <c:pt idx="133">
                  <c:v>0.94190871369294604</c:v>
                </c:pt>
                <c:pt idx="134">
                  <c:v>0.950207468879668</c:v>
                </c:pt>
                <c:pt idx="135">
                  <c:v>0.9543568464730291</c:v>
                </c:pt>
                <c:pt idx="136">
                  <c:v>0.95850622406639008</c:v>
                </c:pt>
                <c:pt idx="137">
                  <c:v>0.96265560165975106</c:v>
                </c:pt>
                <c:pt idx="138">
                  <c:v>0.975103734439834</c:v>
                </c:pt>
                <c:pt idx="139">
                  <c:v>0.97925311203319498</c:v>
                </c:pt>
                <c:pt idx="140">
                  <c:v>0.98340248962655596</c:v>
                </c:pt>
                <c:pt idx="141">
                  <c:v>0.98755186721991706</c:v>
                </c:pt>
                <c:pt idx="142">
                  <c:v>0.99170124481327804</c:v>
                </c:pt>
                <c:pt idx="143">
                  <c:v>0.99585062240663902</c:v>
                </c:pt>
                <c:pt idx="144">
                  <c:v>1</c:v>
                </c:pt>
              </c:numCache>
            </c:numRef>
          </c:xVal>
          <c:yVal>
            <c:numRef>
              <c:f>LR_TrainingLiftChart1!$CA$2:$CA$146</c:f>
              <c:numCache>
                <c:formatCode>General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1.6949152542372881E-2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1.6949152542372881E-2</c:v>
                </c:pt>
                <c:pt idx="8">
                  <c:v>1.6949152542372881E-2</c:v>
                </c:pt>
                <c:pt idx="9">
                  <c:v>1.6949152542372881E-2</c:v>
                </c:pt>
                <c:pt idx="10">
                  <c:v>1.6949152542372881E-2</c:v>
                </c:pt>
                <c:pt idx="11">
                  <c:v>1.6949152542372881E-2</c:v>
                </c:pt>
                <c:pt idx="12">
                  <c:v>3.3898305084745763E-2</c:v>
                </c:pt>
                <c:pt idx="13">
                  <c:v>3.3898305084745763E-2</c:v>
                </c:pt>
                <c:pt idx="14">
                  <c:v>3.3898305084745763E-2</c:v>
                </c:pt>
                <c:pt idx="15">
                  <c:v>3.3898305084745763E-2</c:v>
                </c:pt>
                <c:pt idx="16">
                  <c:v>3.3898305084745763E-2</c:v>
                </c:pt>
                <c:pt idx="17">
                  <c:v>3.3898305084745763E-2</c:v>
                </c:pt>
                <c:pt idx="18">
                  <c:v>3.3898305084745763E-2</c:v>
                </c:pt>
                <c:pt idx="19">
                  <c:v>3.3898305084745763E-2</c:v>
                </c:pt>
                <c:pt idx="20">
                  <c:v>3.3898305084745763E-2</c:v>
                </c:pt>
                <c:pt idx="21">
                  <c:v>5.0847457627118647E-2</c:v>
                </c:pt>
                <c:pt idx="22">
                  <c:v>5.0847457627118647E-2</c:v>
                </c:pt>
                <c:pt idx="23">
                  <c:v>5.0847457627118647E-2</c:v>
                </c:pt>
                <c:pt idx="24">
                  <c:v>5.0847457627118647E-2</c:v>
                </c:pt>
                <c:pt idx="25">
                  <c:v>5.0847457627118647E-2</c:v>
                </c:pt>
                <c:pt idx="26">
                  <c:v>5.0847457627118647E-2</c:v>
                </c:pt>
                <c:pt idx="27">
                  <c:v>6.7796610169491525E-2</c:v>
                </c:pt>
                <c:pt idx="28">
                  <c:v>6.7796610169491525E-2</c:v>
                </c:pt>
                <c:pt idx="29">
                  <c:v>6.7796610169491525E-2</c:v>
                </c:pt>
                <c:pt idx="30">
                  <c:v>6.7796610169491525E-2</c:v>
                </c:pt>
                <c:pt idx="31">
                  <c:v>6.7796610169491525E-2</c:v>
                </c:pt>
                <c:pt idx="32">
                  <c:v>8.4745762711864403E-2</c:v>
                </c:pt>
                <c:pt idx="33">
                  <c:v>0.10169491525423729</c:v>
                </c:pt>
                <c:pt idx="34">
                  <c:v>0.10169491525423729</c:v>
                </c:pt>
                <c:pt idx="35">
                  <c:v>0.10169491525423729</c:v>
                </c:pt>
                <c:pt idx="36">
                  <c:v>0.11864406779661017</c:v>
                </c:pt>
                <c:pt idx="37">
                  <c:v>0.13559322033898305</c:v>
                </c:pt>
                <c:pt idx="38">
                  <c:v>0.13559322033898305</c:v>
                </c:pt>
                <c:pt idx="39">
                  <c:v>0.13559322033898305</c:v>
                </c:pt>
                <c:pt idx="40">
                  <c:v>0.15254237288135594</c:v>
                </c:pt>
                <c:pt idx="41">
                  <c:v>0.15254237288135594</c:v>
                </c:pt>
                <c:pt idx="42">
                  <c:v>0.15254237288135594</c:v>
                </c:pt>
                <c:pt idx="43">
                  <c:v>0.16949152542372881</c:v>
                </c:pt>
                <c:pt idx="44">
                  <c:v>0.20338983050847459</c:v>
                </c:pt>
                <c:pt idx="45">
                  <c:v>0.23728813559322035</c:v>
                </c:pt>
                <c:pt idx="46">
                  <c:v>0.23728813559322035</c:v>
                </c:pt>
                <c:pt idx="47">
                  <c:v>0.25423728813559321</c:v>
                </c:pt>
                <c:pt idx="48">
                  <c:v>0.25423728813559321</c:v>
                </c:pt>
                <c:pt idx="49">
                  <c:v>0.30508474576271188</c:v>
                </c:pt>
                <c:pt idx="50">
                  <c:v>0.30508474576271188</c:v>
                </c:pt>
                <c:pt idx="51">
                  <c:v>0.33898305084745761</c:v>
                </c:pt>
                <c:pt idx="52">
                  <c:v>0.33898305084745761</c:v>
                </c:pt>
                <c:pt idx="53">
                  <c:v>0.38983050847457629</c:v>
                </c:pt>
                <c:pt idx="54">
                  <c:v>0.42372881355932202</c:v>
                </c:pt>
                <c:pt idx="55">
                  <c:v>0.44067796610169491</c:v>
                </c:pt>
                <c:pt idx="56">
                  <c:v>0.44067796610169491</c:v>
                </c:pt>
                <c:pt idx="57">
                  <c:v>0.4576271186440678</c:v>
                </c:pt>
                <c:pt idx="58">
                  <c:v>0.4576271186440678</c:v>
                </c:pt>
                <c:pt idx="59">
                  <c:v>0.47457627118644069</c:v>
                </c:pt>
                <c:pt idx="60">
                  <c:v>0.49152542372881358</c:v>
                </c:pt>
                <c:pt idx="61">
                  <c:v>0.52542372881355937</c:v>
                </c:pt>
                <c:pt idx="62">
                  <c:v>0.52542372881355937</c:v>
                </c:pt>
                <c:pt idx="63">
                  <c:v>0.5423728813559322</c:v>
                </c:pt>
                <c:pt idx="64">
                  <c:v>0.55932203389830504</c:v>
                </c:pt>
                <c:pt idx="65">
                  <c:v>0.57627118644067798</c:v>
                </c:pt>
                <c:pt idx="66">
                  <c:v>0.57627118644067798</c:v>
                </c:pt>
                <c:pt idx="67">
                  <c:v>0.61016949152542377</c:v>
                </c:pt>
                <c:pt idx="68">
                  <c:v>0.6271186440677966</c:v>
                </c:pt>
                <c:pt idx="69">
                  <c:v>0.6271186440677966</c:v>
                </c:pt>
                <c:pt idx="70">
                  <c:v>0.64406779661016944</c:v>
                </c:pt>
                <c:pt idx="71">
                  <c:v>0.64406779661016944</c:v>
                </c:pt>
                <c:pt idx="72">
                  <c:v>0.66101694915254239</c:v>
                </c:pt>
                <c:pt idx="73">
                  <c:v>0.66101694915254239</c:v>
                </c:pt>
                <c:pt idx="74">
                  <c:v>0.67796610169491522</c:v>
                </c:pt>
                <c:pt idx="75">
                  <c:v>0.69491525423728817</c:v>
                </c:pt>
                <c:pt idx="76">
                  <c:v>0.69491525423728817</c:v>
                </c:pt>
                <c:pt idx="77">
                  <c:v>0.71186440677966101</c:v>
                </c:pt>
                <c:pt idx="78">
                  <c:v>0.72881355932203384</c:v>
                </c:pt>
                <c:pt idx="79">
                  <c:v>0.76271186440677963</c:v>
                </c:pt>
                <c:pt idx="80">
                  <c:v>0.83050847457627119</c:v>
                </c:pt>
                <c:pt idx="81">
                  <c:v>0.83050847457627119</c:v>
                </c:pt>
                <c:pt idx="82">
                  <c:v>0.86440677966101698</c:v>
                </c:pt>
                <c:pt idx="83">
                  <c:v>0.89830508474576276</c:v>
                </c:pt>
                <c:pt idx="84">
                  <c:v>0.89830508474576276</c:v>
                </c:pt>
                <c:pt idx="85">
                  <c:v>0.9152542372881356</c:v>
                </c:pt>
                <c:pt idx="86">
                  <c:v>0.9152542372881356</c:v>
                </c:pt>
                <c:pt idx="87">
                  <c:v>0.9152542372881356</c:v>
                </c:pt>
                <c:pt idx="88">
                  <c:v>0.9152542372881356</c:v>
                </c:pt>
                <c:pt idx="89">
                  <c:v>0.9152542372881356</c:v>
                </c:pt>
                <c:pt idx="90">
                  <c:v>0.9152542372881356</c:v>
                </c:pt>
                <c:pt idx="91">
                  <c:v>0.93220338983050843</c:v>
                </c:pt>
                <c:pt idx="92">
                  <c:v>0.93220338983050843</c:v>
                </c:pt>
                <c:pt idx="93">
                  <c:v>0.94915254237288138</c:v>
                </c:pt>
                <c:pt idx="94">
                  <c:v>0.94915254237288138</c:v>
                </c:pt>
                <c:pt idx="95">
                  <c:v>0.94915254237288138</c:v>
                </c:pt>
                <c:pt idx="96">
                  <c:v>0.96610169491525422</c:v>
                </c:pt>
                <c:pt idx="97">
                  <c:v>0.96610169491525422</c:v>
                </c:pt>
                <c:pt idx="98">
                  <c:v>0.96610169491525422</c:v>
                </c:pt>
                <c:pt idx="99">
                  <c:v>0.96610169491525422</c:v>
                </c:pt>
                <c:pt idx="100">
                  <c:v>0.98305084745762716</c:v>
                </c:pt>
                <c:pt idx="101">
                  <c:v>0.98305084745762716</c:v>
                </c:pt>
                <c:pt idx="102">
                  <c:v>0.98305084745762716</c:v>
                </c:pt>
                <c:pt idx="103">
                  <c:v>0.98305084745762716</c:v>
                </c:pt>
                <c:pt idx="104">
                  <c:v>0.98305084745762716</c:v>
                </c:pt>
                <c:pt idx="105">
                  <c:v>0.98305084745762716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13-4511-8F38-4E2ED4E2A0E2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LR_TrainingLiftChart1!$BZ$2:$BZ$146</c:f>
              <c:numCache>
                <c:formatCode>General</c:formatCode>
                <c:ptCount val="145"/>
                <c:pt idx="0">
                  <c:v>0</c:v>
                </c:pt>
                <c:pt idx="1">
                  <c:v>8.2987551867219917E-3</c:v>
                </c:pt>
                <c:pt idx="2">
                  <c:v>1.2448132780082987E-2</c:v>
                </c:pt>
                <c:pt idx="3">
                  <c:v>2.4896265560165973E-2</c:v>
                </c:pt>
                <c:pt idx="4">
                  <c:v>3.3195020746887967E-2</c:v>
                </c:pt>
                <c:pt idx="5">
                  <c:v>3.7344398340248962E-2</c:v>
                </c:pt>
                <c:pt idx="6">
                  <c:v>4.5643153526970952E-2</c:v>
                </c:pt>
                <c:pt idx="7">
                  <c:v>5.8091286307053944E-2</c:v>
                </c:pt>
                <c:pt idx="8">
                  <c:v>7.0539419087136929E-2</c:v>
                </c:pt>
                <c:pt idx="9">
                  <c:v>7.4688796680497924E-2</c:v>
                </c:pt>
                <c:pt idx="10">
                  <c:v>8.7136929460580909E-2</c:v>
                </c:pt>
                <c:pt idx="11">
                  <c:v>9.1286307053941904E-2</c:v>
                </c:pt>
                <c:pt idx="12">
                  <c:v>9.1286307053941904E-2</c:v>
                </c:pt>
                <c:pt idx="13">
                  <c:v>0.1037344398340249</c:v>
                </c:pt>
                <c:pt idx="14">
                  <c:v>0.1078838174273859</c:v>
                </c:pt>
                <c:pt idx="15">
                  <c:v>0.11618257261410789</c:v>
                </c:pt>
                <c:pt idx="16">
                  <c:v>0.12033195020746888</c:v>
                </c:pt>
                <c:pt idx="17">
                  <c:v>0.12448132780082988</c:v>
                </c:pt>
                <c:pt idx="18">
                  <c:v>0.13278008298755187</c:v>
                </c:pt>
                <c:pt idx="19">
                  <c:v>0.14107883817427386</c:v>
                </c:pt>
                <c:pt idx="20">
                  <c:v>0.14522821576763487</c:v>
                </c:pt>
                <c:pt idx="21">
                  <c:v>0.15352697095435686</c:v>
                </c:pt>
                <c:pt idx="22">
                  <c:v>0.15767634854771784</c:v>
                </c:pt>
                <c:pt idx="23">
                  <c:v>0.16182572614107885</c:v>
                </c:pt>
                <c:pt idx="24">
                  <c:v>0.17012448132780084</c:v>
                </c:pt>
                <c:pt idx="25">
                  <c:v>0.17842323651452283</c:v>
                </c:pt>
                <c:pt idx="26">
                  <c:v>0.19502074688796681</c:v>
                </c:pt>
                <c:pt idx="27">
                  <c:v>0.19917012448132779</c:v>
                </c:pt>
                <c:pt idx="28">
                  <c:v>0.2033195020746888</c:v>
                </c:pt>
                <c:pt idx="29">
                  <c:v>0.21991701244813278</c:v>
                </c:pt>
                <c:pt idx="30">
                  <c:v>0.23236514522821577</c:v>
                </c:pt>
                <c:pt idx="31">
                  <c:v>0.24066390041493776</c:v>
                </c:pt>
                <c:pt idx="32">
                  <c:v>0.24481327800829875</c:v>
                </c:pt>
                <c:pt idx="33">
                  <c:v>0.24896265560165975</c:v>
                </c:pt>
                <c:pt idx="34">
                  <c:v>0.25311203319502074</c:v>
                </c:pt>
                <c:pt idx="35">
                  <c:v>0.26141078838174275</c:v>
                </c:pt>
                <c:pt idx="36">
                  <c:v>0.26141078838174275</c:v>
                </c:pt>
                <c:pt idx="37">
                  <c:v>0.26556016597510373</c:v>
                </c:pt>
                <c:pt idx="38">
                  <c:v>0.26970954356846472</c:v>
                </c:pt>
                <c:pt idx="39">
                  <c:v>0.28215767634854771</c:v>
                </c:pt>
                <c:pt idx="40">
                  <c:v>0.28215767634854771</c:v>
                </c:pt>
                <c:pt idx="41">
                  <c:v>0.29045643153526973</c:v>
                </c:pt>
                <c:pt idx="42">
                  <c:v>0.30290456431535268</c:v>
                </c:pt>
                <c:pt idx="43">
                  <c:v>0.30705394190871371</c:v>
                </c:pt>
                <c:pt idx="44">
                  <c:v>0.31120331950207469</c:v>
                </c:pt>
                <c:pt idx="45">
                  <c:v>0.33195020746887965</c:v>
                </c:pt>
                <c:pt idx="46">
                  <c:v>0.35269709543568467</c:v>
                </c:pt>
                <c:pt idx="47">
                  <c:v>0.35269709543568467</c:v>
                </c:pt>
                <c:pt idx="48">
                  <c:v>0.37344398340248963</c:v>
                </c:pt>
                <c:pt idx="49">
                  <c:v>0.38174273858921159</c:v>
                </c:pt>
                <c:pt idx="50">
                  <c:v>0.38589211618257263</c:v>
                </c:pt>
                <c:pt idx="51">
                  <c:v>0.38589211618257263</c:v>
                </c:pt>
                <c:pt idx="52">
                  <c:v>0.39419087136929459</c:v>
                </c:pt>
                <c:pt idx="53">
                  <c:v>0.39419087136929459</c:v>
                </c:pt>
                <c:pt idx="54">
                  <c:v>0.40663900414937759</c:v>
                </c:pt>
                <c:pt idx="55">
                  <c:v>0.41078838174273857</c:v>
                </c:pt>
                <c:pt idx="56">
                  <c:v>0.42323651452282157</c:v>
                </c:pt>
                <c:pt idx="57">
                  <c:v>0.42738589211618255</c:v>
                </c:pt>
                <c:pt idx="58">
                  <c:v>0.43983402489626555</c:v>
                </c:pt>
                <c:pt idx="59">
                  <c:v>0.44398340248962653</c:v>
                </c:pt>
                <c:pt idx="60">
                  <c:v>0.44398340248962653</c:v>
                </c:pt>
                <c:pt idx="61">
                  <c:v>0.45228215767634855</c:v>
                </c:pt>
                <c:pt idx="62">
                  <c:v>0.46058091286307051</c:v>
                </c:pt>
                <c:pt idx="63">
                  <c:v>0.46058091286307051</c:v>
                </c:pt>
                <c:pt idx="64">
                  <c:v>0.47302904564315351</c:v>
                </c:pt>
                <c:pt idx="65">
                  <c:v>0.47302904564315351</c:v>
                </c:pt>
                <c:pt idx="66">
                  <c:v>0.48962655601659749</c:v>
                </c:pt>
                <c:pt idx="67">
                  <c:v>0.48962655601659749</c:v>
                </c:pt>
                <c:pt idx="68">
                  <c:v>0.49377593360995853</c:v>
                </c:pt>
                <c:pt idx="69">
                  <c:v>0.49792531120331951</c:v>
                </c:pt>
                <c:pt idx="70">
                  <c:v>0.49792531120331951</c:v>
                </c:pt>
                <c:pt idx="71">
                  <c:v>0.50622406639004147</c:v>
                </c:pt>
                <c:pt idx="72">
                  <c:v>0.52282157676348551</c:v>
                </c:pt>
                <c:pt idx="73">
                  <c:v>0.52697095435684649</c:v>
                </c:pt>
                <c:pt idx="74">
                  <c:v>0.53941908713692943</c:v>
                </c:pt>
                <c:pt idx="75">
                  <c:v>0.53941908713692943</c:v>
                </c:pt>
                <c:pt idx="76">
                  <c:v>0.5477178423236515</c:v>
                </c:pt>
                <c:pt idx="77">
                  <c:v>0.55601659751037347</c:v>
                </c:pt>
                <c:pt idx="78">
                  <c:v>0.56016597510373445</c:v>
                </c:pt>
                <c:pt idx="79">
                  <c:v>0.56016597510373445</c:v>
                </c:pt>
                <c:pt idx="80">
                  <c:v>0.56016597510373445</c:v>
                </c:pt>
                <c:pt idx="81">
                  <c:v>0.56846473029045641</c:v>
                </c:pt>
                <c:pt idx="82">
                  <c:v>0.57676348547717837</c:v>
                </c:pt>
                <c:pt idx="83">
                  <c:v>0.57676348547717837</c:v>
                </c:pt>
                <c:pt idx="84">
                  <c:v>0.58091286307053946</c:v>
                </c:pt>
                <c:pt idx="85">
                  <c:v>0.58091286307053946</c:v>
                </c:pt>
                <c:pt idx="86">
                  <c:v>0.58506224066390045</c:v>
                </c:pt>
                <c:pt idx="87">
                  <c:v>0.58921161825726143</c:v>
                </c:pt>
                <c:pt idx="88">
                  <c:v>0.60165975103734437</c:v>
                </c:pt>
                <c:pt idx="89">
                  <c:v>0.60995850622406644</c:v>
                </c:pt>
                <c:pt idx="90">
                  <c:v>0.62240663900414939</c:v>
                </c:pt>
                <c:pt idx="91">
                  <c:v>0.62240663900414939</c:v>
                </c:pt>
                <c:pt idx="92">
                  <c:v>0.63070539419087135</c:v>
                </c:pt>
                <c:pt idx="93">
                  <c:v>0.63485477178423233</c:v>
                </c:pt>
                <c:pt idx="94">
                  <c:v>0.65145228215767637</c:v>
                </c:pt>
                <c:pt idx="95">
                  <c:v>0.65975103734439833</c:v>
                </c:pt>
                <c:pt idx="96">
                  <c:v>0.66390041493775931</c:v>
                </c:pt>
                <c:pt idx="97">
                  <c:v>0.68049792531120334</c:v>
                </c:pt>
                <c:pt idx="98">
                  <c:v>0.70539419087136934</c:v>
                </c:pt>
                <c:pt idx="99">
                  <c:v>0.71784232365145229</c:v>
                </c:pt>
                <c:pt idx="100">
                  <c:v>0.71784232365145229</c:v>
                </c:pt>
                <c:pt idx="101">
                  <c:v>0.72614107883817425</c:v>
                </c:pt>
                <c:pt idx="102">
                  <c:v>0.73029045643153523</c:v>
                </c:pt>
                <c:pt idx="103">
                  <c:v>0.73443983402489632</c:v>
                </c:pt>
                <c:pt idx="104">
                  <c:v>0.74273858921161828</c:v>
                </c:pt>
                <c:pt idx="105">
                  <c:v>0.74688796680497926</c:v>
                </c:pt>
                <c:pt idx="106">
                  <c:v>0.75933609958506221</c:v>
                </c:pt>
                <c:pt idx="107">
                  <c:v>0.76348547717842319</c:v>
                </c:pt>
                <c:pt idx="108">
                  <c:v>0.77178423236514526</c:v>
                </c:pt>
                <c:pt idx="109">
                  <c:v>0.78008298755186722</c:v>
                </c:pt>
                <c:pt idx="110">
                  <c:v>0.78838174273858919</c:v>
                </c:pt>
                <c:pt idx="111">
                  <c:v>0.79253112033195017</c:v>
                </c:pt>
                <c:pt idx="112">
                  <c:v>0.79668049792531115</c:v>
                </c:pt>
                <c:pt idx="113">
                  <c:v>0.80497925311203322</c:v>
                </c:pt>
                <c:pt idx="114">
                  <c:v>0.8091286307053942</c:v>
                </c:pt>
                <c:pt idx="115">
                  <c:v>0.81327800829875518</c:v>
                </c:pt>
                <c:pt idx="116">
                  <c:v>0.81742738589211617</c:v>
                </c:pt>
                <c:pt idx="117">
                  <c:v>0.82572614107883813</c:v>
                </c:pt>
                <c:pt idx="118">
                  <c:v>0.8340248962655602</c:v>
                </c:pt>
                <c:pt idx="119">
                  <c:v>0.83817427385892118</c:v>
                </c:pt>
                <c:pt idx="120">
                  <c:v>0.84647302904564314</c:v>
                </c:pt>
                <c:pt idx="121">
                  <c:v>0.85477178423236511</c:v>
                </c:pt>
                <c:pt idx="122">
                  <c:v>0.87136929460580914</c:v>
                </c:pt>
                <c:pt idx="123">
                  <c:v>0.8796680497925311</c:v>
                </c:pt>
                <c:pt idx="124">
                  <c:v>0.88796680497925307</c:v>
                </c:pt>
                <c:pt idx="125">
                  <c:v>0.89211618257261416</c:v>
                </c:pt>
                <c:pt idx="126">
                  <c:v>0.9045643153526971</c:v>
                </c:pt>
                <c:pt idx="127">
                  <c:v>0.90871369294605808</c:v>
                </c:pt>
                <c:pt idx="128">
                  <c:v>0.91286307053941906</c:v>
                </c:pt>
                <c:pt idx="129">
                  <c:v>0.91701244813278004</c:v>
                </c:pt>
                <c:pt idx="130">
                  <c:v>0.92116182572614103</c:v>
                </c:pt>
                <c:pt idx="131">
                  <c:v>0.92531120331950212</c:v>
                </c:pt>
                <c:pt idx="132">
                  <c:v>0.93775933609958506</c:v>
                </c:pt>
                <c:pt idx="133">
                  <c:v>0.94190871369294604</c:v>
                </c:pt>
                <c:pt idx="134">
                  <c:v>0.950207468879668</c:v>
                </c:pt>
                <c:pt idx="135">
                  <c:v>0.9543568464730291</c:v>
                </c:pt>
                <c:pt idx="136">
                  <c:v>0.95850622406639008</c:v>
                </c:pt>
                <c:pt idx="137">
                  <c:v>0.96265560165975106</c:v>
                </c:pt>
                <c:pt idx="138">
                  <c:v>0.975103734439834</c:v>
                </c:pt>
                <c:pt idx="139">
                  <c:v>0.97925311203319498</c:v>
                </c:pt>
                <c:pt idx="140">
                  <c:v>0.98340248962655596</c:v>
                </c:pt>
                <c:pt idx="141">
                  <c:v>0.98755186721991706</c:v>
                </c:pt>
                <c:pt idx="142">
                  <c:v>0.99170124481327804</c:v>
                </c:pt>
                <c:pt idx="143">
                  <c:v>0.99585062240663902</c:v>
                </c:pt>
                <c:pt idx="144">
                  <c:v>1</c:v>
                </c:pt>
              </c:numCache>
            </c:numRef>
          </c:xVal>
          <c:yVal>
            <c:numRef>
              <c:f>LR_TrainingLiftChart1!$CB$2:$CB$146</c:f>
              <c:numCache>
                <c:formatCode>General</c:formatCode>
                <c:ptCount val="145"/>
                <c:pt idx="0">
                  <c:v>0</c:v>
                </c:pt>
                <c:pt idx="1">
                  <c:v>8.2987551867219917E-3</c:v>
                </c:pt>
                <c:pt idx="2">
                  <c:v>1.2448132780082987E-2</c:v>
                </c:pt>
                <c:pt idx="3">
                  <c:v>2.4896265560165973E-2</c:v>
                </c:pt>
                <c:pt idx="4">
                  <c:v>3.3195020746887967E-2</c:v>
                </c:pt>
                <c:pt idx="5">
                  <c:v>3.7344398340248962E-2</c:v>
                </c:pt>
                <c:pt idx="6">
                  <c:v>4.5643153526970952E-2</c:v>
                </c:pt>
                <c:pt idx="7">
                  <c:v>5.8091286307053944E-2</c:v>
                </c:pt>
                <c:pt idx="8">
                  <c:v>7.0539419087136929E-2</c:v>
                </c:pt>
                <c:pt idx="9">
                  <c:v>7.4688796680497924E-2</c:v>
                </c:pt>
                <c:pt idx="10">
                  <c:v>8.7136929460580909E-2</c:v>
                </c:pt>
                <c:pt idx="11">
                  <c:v>9.1286307053941904E-2</c:v>
                </c:pt>
                <c:pt idx="12">
                  <c:v>9.1286307053941904E-2</c:v>
                </c:pt>
                <c:pt idx="13">
                  <c:v>0.1037344398340249</c:v>
                </c:pt>
                <c:pt idx="14">
                  <c:v>0.1078838174273859</c:v>
                </c:pt>
                <c:pt idx="15">
                  <c:v>0.11618257261410789</c:v>
                </c:pt>
                <c:pt idx="16">
                  <c:v>0.12033195020746888</c:v>
                </c:pt>
                <c:pt idx="17">
                  <c:v>0.12448132780082988</c:v>
                </c:pt>
                <c:pt idx="18">
                  <c:v>0.13278008298755187</c:v>
                </c:pt>
                <c:pt idx="19">
                  <c:v>0.14107883817427386</c:v>
                </c:pt>
                <c:pt idx="20">
                  <c:v>0.14522821576763487</c:v>
                </c:pt>
                <c:pt idx="21">
                  <c:v>0.15352697095435686</c:v>
                </c:pt>
                <c:pt idx="22">
                  <c:v>0.15767634854771784</c:v>
                </c:pt>
                <c:pt idx="23">
                  <c:v>0.16182572614107885</c:v>
                </c:pt>
                <c:pt idx="24">
                  <c:v>0.17012448132780084</c:v>
                </c:pt>
                <c:pt idx="25">
                  <c:v>0.17842323651452283</c:v>
                </c:pt>
                <c:pt idx="26">
                  <c:v>0.19502074688796681</c:v>
                </c:pt>
                <c:pt idx="27">
                  <c:v>0.19917012448132779</c:v>
                </c:pt>
                <c:pt idx="28">
                  <c:v>0.2033195020746888</c:v>
                </c:pt>
                <c:pt idx="29">
                  <c:v>0.21991701244813278</c:v>
                </c:pt>
                <c:pt idx="30">
                  <c:v>0.23236514522821577</c:v>
                </c:pt>
                <c:pt idx="31">
                  <c:v>0.24066390041493776</c:v>
                </c:pt>
                <c:pt idx="32">
                  <c:v>0.24481327800829875</c:v>
                </c:pt>
                <c:pt idx="33">
                  <c:v>0.24896265560165975</c:v>
                </c:pt>
                <c:pt idx="34">
                  <c:v>0.25311203319502074</c:v>
                </c:pt>
                <c:pt idx="35">
                  <c:v>0.26141078838174275</c:v>
                </c:pt>
                <c:pt idx="36">
                  <c:v>0.26141078838174275</c:v>
                </c:pt>
                <c:pt idx="37">
                  <c:v>0.26556016597510373</c:v>
                </c:pt>
                <c:pt idx="38">
                  <c:v>0.26970954356846472</c:v>
                </c:pt>
                <c:pt idx="39">
                  <c:v>0.28215767634854771</c:v>
                </c:pt>
                <c:pt idx="40">
                  <c:v>0.28215767634854771</c:v>
                </c:pt>
                <c:pt idx="41">
                  <c:v>0.29045643153526973</c:v>
                </c:pt>
                <c:pt idx="42">
                  <c:v>0.30290456431535268</c:v>
                </c:pt>
                <c:pt idx="43">
                  <c:v>0.30705394190871371</c:v>
                </c:pt>
                <c:pt idx="44">
                  <c:v>0.31120331950207469</c:v>
                </c:pt>
                <c:pt idx="45">
                  <c:v>0.33195020746887965</c:v>
                </c:pt>
                <c:pt idx="46">
                  <c:v>0.35269709543568467</c:v>
                </c:pt>
                <c:pt idx="47">
                  <c:v>0.35269709543568467</c:v>
                </c:pt>
                <c:pt idx="48">
                  <c:v>0.37344398340248963</c:v>
                </c:pt>
                <c:pt idx="49">
                  <c:v>0.38174273858921159</c:v>
                </c:pt>
                <c:pt idx="50">
                  <c:v>0.38589211618257263</c:v>
                </c:pt>
                <c:pt idx="51">
                  <c:v>0.38589211618257263</c:v>
                </c:pt>
                <c:pt idx="52">
                  <c:v>0.39419087136929459</c:v>
                </c:pt>
                <c:pt idx="53">
                  <c:v>0.39419087136929459</c:v>
                </c:pt>
                <c:pt idx="54">
                  <c:v>0.40663900414937759</c:v>
                </c:pt>
                <c:pt idx="55">
                  <c:v>0.41078838174273857</c:v>
                </c:pt>
                <c:pt idx="56">
                  <c:v>0.42323651452282157</c:v>
                </c:pt>
                <c:pt idx="57">
                  <c:v>0.42738589211618255</c:v>
                </c:pt>
                <c:pt idx="58">
                  <c:v>0.43983402489626555</c:v>
                </c:pt>
                <c:pt idx="59">
                  <c:v>0.44398340248962653</c:v>
                </c:pt>
                <c:pt idx="60">
                  <c:v>0.44398340248962653</c:v>
                </c:pt>
                <c:pt idx="61">
                  <c:v>0.45228215767634855</c:v>
                </c:pt>
                <c:pt idx="62">
                  <c:v>0.46058091286307051</c:v>
                </c:pt>
                <c:pt idx="63">
                  <c:v>0.46058091286307051</c:v>
                </c:pt>
                <c:pt idx="64">
                  <c:v>0.47302904564315351</c:v>
                </c:pt>
                <c:pt idx="65">
                  <c:v>0.47302904564315351</c:v>
                </c:pt>
                <c:pt idx="66">
                  <c:v>0.48962655601659749</c:v>
                </c:pt>
                <c:pt idx="67">
                  <c:v>0.48962655601659749</c:v>
                </c:pt>
                <c:pt idx="68">
                  <c:v>0.49377593360995853</c:v>
                </c:pt>
                <c:pt idx="69">
                  <c:v>0.49792531120331951</c:v>
                </c:pt>
                <c:pt idx="70">
                  <c:v>0.49792531120331951</c:v>
                </c:pt>
                <c:pt idx="71">
                  <c:v>0.50622406639004147</c:v>
                </c:pt>
                <c:pt idx="72">
                  <c:v>0.52282157676348551</c:v>
                </c:pt>
                <c:pt idx="73">
                  <c:v>0.52697095435684649</c:v>
                </c:pt>
                <c:pt idx="74">
                  <c:v>0.53941908713692943</c:v>
                </c:pt>
                <c:pt idx="75">
                  <c:v>0.53941908713692943</c:v>
                </c:pt>
                <c:pt idx="76">
                  <c:v>0.5477178423236515</c:v>
                </c:pt>
                <c:pt idx="77">
                  <c:v>0.55601659751037347</c:v>
                </c:pt>
                <c:pt idx="78">
                  <c:v>0.56016597510373445</c:v>
                </c:pt>
                <c:pt idx="79">
                  <c:v>0.56016597510373445</c:v>
                </c:pt>
                <c:pt idx="80">
                  <c:v>0.56016597510373445</c:v>
                </c:pt>
                <c:pt idx="81">
                  <c:v>0.56846473029045641</c:v>
                </c:pt>
                <c:pt idx="82">
                  <c:v>0.57676348547717837</c:v>
                </c:pt>
                <c:pt idx="83">
                  <c:v>0.57676348547717837</c:v>
                </c:pt>
                <c:pt idx="84">
                  <c:v>0.58091286307053946</c:v>
                </c:pt>
                <c:pt idx="85">
                  <c:v>0.58091286307053946</c:v>
                </c:pt>
                <c:pt idx="86">
                  <c:v>0.58506224066390045</c:v>
                </c:pt>
                <c:pt idx="87">
                  <c:v>0.58921161825726143</c:v>
                </c:pt>
                <c:pt idx="88">
                  <c:v>0.60165975103734437</c:v>
                </c:pt>
                <c:pt idx="89">
                  <c:v>0.60995850622406644</c:v>
                </c:pt>
                <c:pt idx="90">
                  <c:v>0.62240663900414939</c:v>
                </c:pt>
                <c:pt idx="91">
                  <c:v>0.62240663900414939</c:v>
                </c:pt>
                <c:pt idx="92">
                  <c:v>0.63070539419087135</c:v>
                </c:pt>
                <c:pt idx="93">
                  <c:v>0.63485477178423233</c:v>
                </c:pt>
                <c:pt idx="94">
                  <c:v>0.65145228215767637</c:v>
                </c:pt>
                <c:pt idx="95">
                  <c:v>0.65975103734439833</c:v>
                </c:pt>
                <c:pt idx="96">
                  <c:v>0.66390041493775931</c:v>
                </c:pt>
                <c:pt idx="97">
                  <c:v>0.68049792531120334</c:v>
                </c:pt>
                <c:pt idx="98">
                  <c:v>0.70539419087136934</c:v>
                </c:pt>
                <c:pt idx="99">
                  <c:v>0.71784232365145229</c:v>
                </c:pt>
                <c:pt idx="100">
                  <c:v>0.71784232365145229</c:v>
                </c:pt>
                <c:pt idx="101">
                  <c:v>0.72614107883817425</c:v>
                </c:pt>
                <c:pt idx="102">
                  <c:v>0.73029045643153523</c:v>
                </c:pt>
                <c:pt idx="103">
                  <c:v>0.73443983402489632</c:v>
                </c:pt>
                <c:pt idx="104">
                  <c:v>0.74273858921161828</c:v>
                </c:pt>
                <c:pt idx="105">
                  <c:v>0.74688796680497926</c:v>
                </c:pt>
                <c:pt idx="106">
                  <c:v>0.75933609958506221</c:v>
                </c:pt>
                <c:pt idx="107">
                  <c:v>0.76348547717842319</c:v>
                </c:pt>
                <c:pt idx="108">
                  <c:v>0.77178423236514526</c:v>
                </c:pt>
                <c:pt idx="109">
                  <c:v>0.78008298755186722</c:v>
                </c:pt>
                <c:pt idx="110">
                  <c:v>0.78838174273858919</c:v>
                </c:pt>
                <c:pt idx="111">
                  <c:v>0.79253112033195017</c:v>
                </c:pt>
                <c:pt idx="112">
                  <c:v>0.79668049792531115</c:v>
                </c:pt>
                <c:pt idx="113">
                  <c:v>0.80497925311203322</c:v>
                </c:pt>
                <c:pt idx="114">
                  <c:v>0.8091286307053942</c:v>
                </c:pt>
                <c:pt idx="115">
                  <c:v>0.81327800829875518</c:v>
                </c:pt>
                <c:pt idx="116">
                  <c:v>0.81742738589211617</c:v>
                </c:pt>
                <c:pt idx="117">
                  <c:v>0.82572614107883813</c:v>
                </c:pt>
                <c:pt idx="118">
                  <c:v>0.8340248962655602</c:v>
                </c:pt>
                <c:pt idx="119">
                  <c:v>0.83817427385892118</c:v>
                </c:pt>
                <c:pt idx="120">
                  <c:v>0.84647302904564314</c:v>
                </c:pt>
                <c:pt idx="121">
                  <c:v>0.85477178423236511</c:v>
                </c:pt>
                <c:pt idx="122">
                  <c:v>0.87136929460580914</c:v>
                </c:pt>
                <c:pt idx="123">
                  <c:v>0.8796680497925311</c:v>
                </c:pt>
                <c:pt idx="124">
                  <c:v>0.88796680497925307</c:v>
                </c:pt>
                <c:pt idx="125">
                  <c:v>0.89211618257261416</c:v>
                </c:pt>
                <c:pt idx="126">
                  <c:v>0.9045643153526971</c:v>
                </c:pt>
                <c:pt idx="127">
                  <c:v>0.90871369294605808</c:v>
                </c:pt>
                <c:pt idx="128">
                  <c:v>0.91286307053941906</c:v>
                </c:pt>
                <c:pt idx="129">
                  <c:v>0.91701244813278004</c:v>
                </c:pt>
                <c:pt idx="130">
                  <c:v>0.92116182572614103</c:v>
                </c:pt>
                <c:pt idx="131">
                  <c:v>0.92531120331950212</c:v>
                </c:pt>
                <c:pt idx="132">
                  <c:v>0.93775933609958506</c:v>
                </c:pt>
                <c:pt idx="133">
                  <c:v>0.94190871369294604</c:v>
                </c:pt>
                <c:pt idx="134">
                  <c:v>0.950207468879668</c:v>
                </c:pt>
                <c:pt idx="135">
                  <c:v>0.9543568464730291</c:v>
                </c:pt>
                <c:pt idx="136">
                  <c:v>0.95850622406639008</c:v>
                </c:pt>
                <c:pt idx="137">
                  <c:v>0.96265560165975106</c:v>
                </c:pt>
                <c:pt idx="138">
                  <c:v>0.975103734439834</c:v>
                </c:pt>
                <c:pt idx="139">
                  <c:v>0.97925311203319498</c:v>
                </c:pt>
                <c:pt idx="140">
                  <c:v>0.98340248962655596</c:v>
                </c:pt>
                <c:pt idx="141">
                  <c:v>0.98755186721991706</c:v>
                </c:pt>
                <c:pt idx="142">
                  <c:v>0.99170124481327804</c:v>
                </c:pt>
                <c:pt idx="143">
                  <c:v>0.99585062240663902</c:v>
                </c:pt>
                <c:pt idx="14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13-4511-8F38-4E2ED4E2A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63776"/>
        <c:axId val="1402065024"/>
      </c:scatterChart>
      <c:valAx>
        <c:axId val="140206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5024"/>
        <c:crosses val="autoZero"/>
        <c:crossBetween val="midCat"/>
      </c:valAx>
      <c:valAx>
        <c:axId val="1402065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37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(validation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Dropped when sorted using predicted values</c:v>
          </c:tx>
          <c:spPr>
            <a:ln w="6350"/>
          </c:spPr>
          <c:marker>
            <c:symbol val="none"/>
          </c:marker>
          <c:xVal>
            <c:numRef>
              <c:f>LR_ValidationLiftChart1!$AZ$4:$AZ$203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LR_ValidationLiftChart1!$BC$4:$BC$203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14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17</c:v>
                </c:pt>
                <c:pt idx="74">
                  <c:v>17</c:v>
                </c:pt>
                <c:pt idx="75">
                  <c:v>17</c:v>
                </c:pt>
                <c:pt idx="76">
                  <c:v>17</c:v>
                </c:pt>
                <c:pt idx="77">
                  <c:v>17</c:v>
                </c:pt>
                <c:pt idx="78">
                  <c:v>17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22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6">
                  <c:v>24</c:v>
                </c:pt>
                <c:pt idx="97">
                  <c:v>25</c:v>
                </c:pt>
                <c:pt idx="98">
                  <c:v>26</c:v>
                </c:pt>
                <c:pt idx="99">
                  <c:v>26</c:v>
                </c:pt>
                <c:pt idx="100">
                  <c:v>26</c:v>
                </c:pt>
                <c:pt idx="101">
                  <c:v>27</c:v>
                </c:pt>
                <c:pt idx="102">
                  <c:v>27</c:v>
                </c:pt>
                <c:pt idx="103">
                  <c:v>28</c:v>
                </c:pt>
                <c:pt idx="104">
                  <c:v>28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31</c:v>
                </c:pt>
                <c:pt idx="116">
                  <c:v>31</c:v>
                </c:pt>
                <c:pt idx="117">
                  <c:v>32</c:v>
                </c:pt>
                <c:pt idx="118">
                  <c:v>32</c:v>
                </c:pt>
                <c:pt idx="119">
                  <c:v>33</c:v>
                </c:pt>
                <c:pt idx="120">
                  <c:v>33</c:v>
                </c:pt>
                <c:pt idx="121">
                  <c:v>33</c:v>
                </c:pt>
                <c:pt idx="122">
                  <c:v>33</c:v>
                </c:pt>
                <c:pt idx="123">
                  <c:v>33</c:v>
                </c:pt>
                <c:pt idx="124">
                  <c:v>33</c:v>
                </c:pt>
                <c:pt idx="125">
                  <c:v>33</c:v>
                </c:pt>
                <c:pt idx="126">
                  <c:v>33</c:v>
                </c:pt>
                <c:pt idx="127">
                  <c:v>34</c:v>
                </c:pt>
                <c:pt idx="128">
                  <c:v>34</c:v>
                </c:pt>
                <c:pt idx="129">
                  <c:v>34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34</c:v>
                </c:pt>
                <c:pt idx="136">
                  <c:v>34</c:v>
                </c:pt>
                <c:pt idx="137">
                  <c:v>35</c:v>
                </c:pt>
                <c:pt idx="138">
                  <c:v>35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36</c:v>
                </c:pt>
                <c:pt idx="151">
                  <c:v>36</c:v>
                </c:pt>
                <c:pt idx="152">
                  <c:v>36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37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38</c:v>
                </c:pt>
                <c:pt idx="166">
                  <c:v>38</c:v>
                </c:pt>
                <c:pt idx="167">
                  <c:v>38</c:v>
                </c:pt>
                <c:pt idx="168">
                  <c:v>38</c:v>
                </c:pt>
                <c:pt idx="169">
                  <c:v>38</c:v>
                </c:pt>
                <c:pt idx="170">
                  <c:v>38</c:v>
                </c:pt>
                <c:pt idx="171">
                  <c:v>38</c:v>
                </c:pt>
                <c:pt idx="172">
                  <c:v>38</c:v>
                </c:pt>
                <c:pt idx="173">
                  <c:v>38</c:v>
                </c:pt>
                <c:pt idx="174">
                  <c:v>38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39</c:v>
                </c:pt>
                <c:pt idx="179">
                  <c:v>39</c:v>
                </c:pt>
                <c:pt idx="180">
                  <c:v>39</c:v>
                </c:pt>
                <c:pt idx="181">
                  <c:v>39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39</c:v>
                </c:pt>
                <c:pt idx="186">
                  <c:v>39</c:v>
                </c:pt>
                <c:pt idx="187">
                  <c:v>39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39</c:v>
                </c:pt>
                <c:pt idx="192">
                  <c:v>39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39</c:v>
                </c:pt>
                <c:pt idx="197">
                  <c:v>39</c:v>
                </c:pt>
                <c:pt idx="198">
                  <c:v>39</c:v>
                </c:pt>
                <c:pt idx="199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EE-486D-9039-1656263D6951}"/>
            </c:ext>
          </c:extLst>
        </c:ser>
        <c:ser>
          <c:idx val="1"/>
          <c:order val="1"/>
          <c:tx>
            <c:v>Cumulative Dropped using average</c:v>
          </c:tx>
          <c:spPr>
            <a:ln w="6350"/>
          </c:spPr>
          <c:marker>
            <c:symbol val="none"/>
          </c:marker>
          <c:xVal>
            <c:numRef>
              <c:f>LR_ValidationLiftChart1!$AZ$4:$AZ$203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LR_ValidationLiftChart1!$BD$4:$BD$203</c:f>
              <c:numCache>
                <c:formatCode>General</c:formatCode>
                <c:ptCount val="200"/>
                <c:pt idx="0">
                  <c:v>0.19500000000000001</c:v>
                </c:pt>
                <c:pt idx="1">
                  <c:v>0.39</c:v>
                </c:pt>
                <c:pt idx="2">
                  <c:v>0.58499999999999996</c:v>
                </c:pt>
                <c:pt idx="3">
                  <c:v>0.78</c:v>
                </c:pt>
                <c:pt idx="4">
                  <c:v>0.97500000000000009</c:v>
                </c:pt>
                <c:pt idx="5">
                  <c:v>1.17</c:v>
                </c:pt>
                <c:pt idx="6">
                  <c:v>1.365</c:v>
                </c:pt>
                <c:pt idx="7">
                  <c:v>1.56</c:v>
                </c:pt>
                <c:pt idx="8">
                  <c:v>1.7550000000000001</c:v>
                </c:pt>
                <c:pt idx="9">
                  <c:v>1.9500000000000002</c:v>
                </c:pt>
                <c:pt idx="10">
                  <c:v>2.145</c:v>
                </c:pt>
                <c:pt idx="11">
                  <c:v>2.34</c:v>
                </c:pt>
                <c:pt idx="12">
                  <c:v>2.5350000000000001</c:v>
                </c:pt>
                <c:pt idx="13">
                  <c:v>2.73</c:v>
                </c:pt>
                <c:pt idx="14">
                  <c:v>2.9250000000000003</c:v>
                </c:pt>
                <c:pt idx="15">
                  <c:v>3.12</c:v>
                </c:pt>
                <c:pt idx="16">
                  <c:v>3.3149999999999999</c:v>
                </c:pt>
                <c:pt idx="17">
                  <c:v>3.5100000000000002</c:v>
                </c:pt>
                <c:pt idx="18">
                  <c:v>3.7050000000000001</c:v>
                </c:pt>
                <c:pt idx="19">
                  <c:v>3.9000000000000004</c:v>
                </c:pt>
                <c:pt idx="20">
                  <c:v>4.0949999999999998</c:v>
                </c:pt>
                <c:pt idx="21">
                  <c:v>4.29</c:v>
                </c:pt>
                <c:pt idx="22">
                  <c:v>4.4850000000000003</c:v>
                </c:pt>
                <c:pt idx="23">
                  <c:v>4.68</c:v>
                </c:pt>
                <c:pt idx="24">
                  <c:v>4.875</c:v>
                </c:pt>
                <c:pt idx="25">
                  <c:v>5.07</c:v>
                </c:pt>
                <c:pt idx="26">
                  <c:v>5.2650000000000006</c:v>
                </c:pt>
                <c:pt idx="27">
                  <c:v>5.46</c:v>
                </c:pt>
                <c:pt idx="28">
                  <c:v>5.6550000000000002</c:v>
                </c:pt>
                <c:pt idx="29">
                  <c:v>5.8500000000000005</c:v>
                </c:pt>
                <c:pt idx="30">
                  <c:v>6.0449999999999999</c:v>
                </c:pt>
                <c:pt idx="31">
                  <c:v>6.24</c:v>
                </c:pt>
                <c:pt idx="32">
                  <c:v>6.4350000000000005</c:v>
                </c:pt>
                <c:pt idx="33">
                  <c:v>6.63</c:v>
                </c:pt>
                <c:pt idx="34">
                  <c:v>6.8250000000000002</c:v>
                </c:pt>
                <c:pt idx="35">
                  <c:v>7.0200000000000005</c:v>
                </c:pt>
                <c:pt idx="36">
                  <c:v>7.2149999999999999</c:v>
                </c:pt>
                <c:pt idx="37">
                  <c:v>7.41</c:v>
                </c:pt>
                <c:pt idx="38">
                  <c:v>7.6050000000000004</c:v>
                </c:pt>
                <c:pt idx="39">
                  <c:v>7.8000000000000007</c:v>
                </c:pt>
                <c:pt idx="40">
                  <c:v>7.9950000000000001</c:v>
                </c:pt>
                <c:pt idx="41">
                  <c:v>8.19</c:v>
                </c:pt>
                <c:pt idx="42">
                  <c:v>8.3849999999999998</c:v>
                </c:pt>
                <c:pt idx="43">
                  <c:v>8.58</c:v>
                </c:pt>
                <c:pt idx="44">
                  <c:v>8.7750000000000004</c:v>
                </c:pt>
                <c:pt idx="45">
                  <c:v>8.9700000000000006</c:v>
                </c:pt>
                <c:pt idx="46">
                  <c:v>9.1650000000000009</c:v>
                </c:pt>
                <c:pt idx="47">
                  <c:v>9.36</c:v>
                </c:pt>
                <c:pt idx="48">
                  <c:v>9.5549999999999997</c:v>
                </c:pt>
                <c:pt idx="49">
                  <c:v>9.75</c:v>
                </c:pt>
                <c:pt idx="50">
                  <c:v>9.9450000000000003</c:v>
                </c:pt>
                <c:pt idx="51">
                  <c:v>10.14</c:v>
                </c:pt>
                <c:pt idx="52">
                  <c:v>10.335000000000001</c:v>
                </c:pt>
                <c:pt idx="53">
                  <c:v>10.530000000000001</c:v>
                </c:pt>
                <c:pt idx="54">
                  <c:v>10.725</c:v>
                </c:pt>
                <c:pt idx="55">
                  <c:v>10.92</c:v>
                </c:pt>
                <c:pt idx="56">
                  <c:v>11.115</c:v>
                </c:pt>
                <c:pt idx="57">
                  <c:v>11.31</c:v>
                </c:pt>
                <c:pt idx="58">
                  <c:v>11.505000000000001</c:v>
                </c:pt>
                <c:pt idx="59">
                  <c:v>11.700000000000001</c:v>
                </c:pt>
                <c:pt idx="60">
                  <c:v>11.895</c:v>
                </c:pt>
                <c:pt idx="61">
                  <c:v>12.09</c:v>
                </c:pt>
                <c:pt idx="62">
                  <c:v>12.285</c:v>
                </c:pt>
                <c:pt idx="63">
                  <c:v>12.48</c:v>
                </c:pt>
                <c:pt idx="64">
                  <c:v>12.675000000000001</c:v>
                </c:pt>
                <c:pt idx="65">
                  <c:v>12.870000000000001</c:v>
                </c:pt>
                <c:pt idx="66">
                  <c:v>13.065000000000001</c:v>
                </c:pt>
                <c:pt idx="67">
                  <c:v>13.26</c:v>
                </c:pt>
                <c:pt idx="68">
                  <c:v>13.455</c:v>
                </c:pt>
                <c:pt idx="69">
                  <c:v>13.65</c:v>
                </c:pt>
                <c:pt idx="70">
                  <c:v>13.845000000000001</c:v>
                </c:pt>
                <c:pt idx="71">
                  <c:v>14.040000000000001</c:v>
                </c:pt>
                <c:pt idx="72">
                  <c:v>14.235000000000001</c:v>
                </c:pt>
                <c:pt idx="73">
                  <c:v>14.43</c:v>
                </c:pt>
                <c:pt idx="74">
                  <c:v>14.625</c:v>
                </c:pt>
                <c:pt idx="75">
                  <c:v>14.82</c:v>
                </c:pt>
                <c:pt idx="76">
                  <c:v>15.015000000000001</c:v>
                </c:pt>
                <c:pt idx="77">
                  <c:v>15.21</c:v>
                </c:pt>
                <c:pt idx="78">
                  <c:v>15.405000000000001</c:v>
                </c:pt>
                <c:pt idx="79">
                  <c:v>15.600000000000001</c:v>
                </c:pt>
                <c:pt idx="80">
                  <c:v>15.795</c:v>
                </c:pt>
                <c:pt idx="81">
                  <c:v>15.99</c:v>
                </c:pt>
                <c:pt idx="82">
                  <c:v>16.185000000000002</c:v>
                </c:pt>
                <c:pt idx="83">
                  <c:v>16.38</c:v>
                </c:pt>
                <c:pt idx="84">
                  <c:v>16.574999999999999</c:v>
                </c:pt>
                <c:pt idx="85">
                  <c:v>16.77</c:v>
                </c:pt>
                <c:pt idx="86">
                  <c:v>16.965</c:v>
                </c:pt>
                <c:pt idx="87">
                  <c:v>17.16</c:v>
                </c:pt>
                <c:pt idx="88">
                  <c:v>17.355</c:v>
                </c:pt>
                <c:pt idx="89">
                  <c:v>17.55</c:v>
                </c:pt>
                <c:pt idx="90">
                  <c:v>17.745000000000001</c:v>
                </c:pt>
                <c:pt idx="91">
                  <c:v>17.940000000000001</c:v>
                </c:pt>
                <c:pt idx="92">
                  <c:v>18.135000000000002</c:v>
                </c:pt>
                <c:pt idx="93">
                  <c:v>18.330000000000002</c:v>
                </c:pt>
                <c:pt idx="94">
                  <c:v>18.525000000000002</c:v>
                </c:pt>
                <c:pt idx="95">
                  <c:v>18.72</c:v>
                </c:pt>
                <c:pt idx="96">
                  <c:v>18.914999999999999</c:v>
                </c:pt>
                <c:pt idx="97">
                  <c:v>19.11</c:v>
                </c:pt>
                <c:pt idx="98">
                  <c:v>19.305</c:v>
                </c:pt>
                <c:pt idx="99">
                  <c:v>19.5</c:v>
                </c:pt>
                <c:pt idx="100">
                  <c:v>19.695</c:v>
                </c:pt>
                <c:pt idx="101">
                  <c:v>19.89</c:v>
                </c:pt>
                <c:pt idx="102">
                  <c:v>20.085000000000001</c:v>
                </c:pt>
                <c:pt idx="103">
                  <c:v>20.28</c:v>
                </c:pt>
                <c:pt idx="104">
                  <c:v>20.475000000000001</c:v>
                </c:pt>
                <c:pt idx="105">
                  <c:v>20.67</c:v>
                </c:pt>
                <c:pt idx="106">
                  <c:v>20.865000000000002</c:v>
                </c:pt>
                <c:pt idx="107">
                  <c:v>21.060000000000002</c:v>
                </c:pt>
                <c:pt idx="108">
                  <c:v>21.254999999999999</c:v>
                </c:pt>
                <c:pt idx="109">
                  <c:v>21.45</c:v>
                </c:pt>
                <c:pt idx="110">
                  <c:v>21.645</c:v>
                </c:pt>
                <c:pt idx="111">
                  <c:v>21.84</c:v>
                </c:pt>
                <c:pt idx="112">
                  <c:v>22.035</c:v>
                </c:pt>
                <c:pt idx="113">
                  <c:v>22.23</c:v>
                </c:pt>
                <c:pt idx="114">
                  <c:v>22.425000000000001</c:v>
                </c:pt>
                <c:pt idx="115">
                  <c:v>22.62</c:v>
                </c:pt>
                <c:pt idx="116">
                  <c:v>22.815000000000001</c:v>
                </c:pt>
                <c:pt idx="117">
                  <c:v>23.01</c:v>
                </c:pt>
                <c:pt idx="118">
                  <c:v>23.205000000000002</c:v>
                </c:pt>
                <c:pt idx="119">
                  <c:v>23.400000000000002</c:v>
                </c:pt>
                <c:pt idx="120">
                  <c:v>23.595000000000002</c:v>
                </c:pt>
                <c:pt idx="121">
                  <c:v>23.79</c:v>
                </c:pt>
                <c:pt idx="122">
                  <c:v>23.984999999999999</c:v>
                </c:pt>
                <c:pt idx="123">
                  <c:v>24.18</c:v>
                </c:pt>
                <c:pt idx="124">
                  <c:v>24.375</c:v>
                </c:pt>
                <c:pt idx="125">
                  <c:v>24.57</c:v>
                </c:pt>
                <c:pt idx="126">
                  <c:v>24.765000000000001</c:v>
                </c:pt>
                <c:pt idx="127">
                  <c:v>24.96</c:v>
                </c:pt>
                <c:pt idx="128">
                  <c:v>25.155000000000001</c:v>
                </c:pt>
                <c:pt idx="129">
                  <c:v>25.35</c:v>
                </c:pt>
                <c:pt idx="130">
                  <c:v>25.545000000000002</c:v>
                </c:pt>
                <c:pt idx="131">
                  <c:v>25.740000000000002</c:v>
                </c:pt>
                <c:pt idx="132">
                  <c:v>25.935000000000002</c:v>
                </c:pt>
                <c:pt idx="133">
                  <c:v>26.130000000000003</c:v>
                </c:pt>
                <c:pt idx="134">
                  <c:v>26.324999999999999</c:v>
                </c:pt>
                <c:pt idx="135">
                  <c:v>26.52</c:v>
                </c:pt>
                <c:pt idx="136">
                  <c:v>26.715</c:v>
                </c:pt>
                <c:pt idx="137">
                  <c:v>26.91</c:v>
                </c:pt>
                <c:pt idx="138">
                  <c:v>27.105</c:v>
                </c:pt>
                <c:pt idx="139">
                  <c:v>27.3</c:v>
                </c:pt>
                <c:pt idx="140">
                  <c:v>27.495000000000001</c:v>
                </c:pt>
                <c:pt idx="141">
                  <c:v>27.69</c:v>
                </c:pt>
                <c:pt idx="142">
                  <c:v>27.885000000000002</c:v>
                </c:pt>
                <c:pt idx="143">
                  <c:v>28.080000000000002</c:v>
                </c:pt>
                <c:pt idx="144">
                  <c:v>28.275000000000002</c:v>
                </c:pt>
                <c:pt idx="145">
                  <c:v>28.470000000000002</c:v>
                </c:pt>
                <c:pt idx="146">
                  <c:v>28.665000000000003</c:v>
                </c:pt>
                <c:pt idx="147">
                  <c:v>28.86</c:v>
                </c:pt>
                <c:pt idx="148">
                  <c:v>29.055</c:v>
                </c:pt>
                <c:pt idx="149">
                  <c:v>29.25</c:v>
                </c:pt>
                <c:pt idx="150">
                  <c:v>29.445</c:v>
                </c:pt>
                <c:pt idx="151">
                  <c:v>29.64</c:v>
                </c:pt>
                <c:pt idx="152">
                  <c:v>29.835000000000001</c:v>
                </c:pt>
                <c:pt idx="153">
                  <c:v>30.03</c:v>
                </c:pt>
                <c:pt idx="154">
                  <c:v>30.225000000000001</c:v>
                </c:pt>
                <c:pt idx="155">
                  <c:v>30.42</c:v>
                </c:pt>
                <c:pt idx="156">
                  <c:v>30.615000000000002</c:v>
                </c:pt>
                <c:pt idx="157">
                  <c:v>30.810000000000002</c:v>
                </c:pt>
                <c:pt idx="158">
                  <c:v>31.005000000000003</c:v>
                </c:pt>
                <c:pt idx="159">
                  <c:v>31.200000000000003</c:v>
                </c:pt>
                <c:pt idx="160">
                  <c:v>31.395</c:v>
                </c:pt>
                <c:pt idx="161">
                  <c:v>31.59</c:v>
                </c:pt>
                <c:pt idx="162">
                  <c:v>31.785</c:v>
                </c:pt>
                <c:pt idx="163">
                  <c:v>31.98</c:v>
                </c:pt>
                <c:pt idx="164">
                  <c:v>32.175000000000004</c:v>
                </c:pt>
                <c:pt idx="165">
                  <c:v>32.370000000000005</c:v>
                </c:pt>
                <c:pt idx="166">
                  <c:v>32.564999999999998</c:v>
                </c:pt>
                <c:pt idx="167">
                  <c:v>32.76</c:v>
                </c:pt>
                <c:pt idx="168">
                  <c:v>32.954999999999998</c:v>
                </c:pt>
                <c:pt idx="169">
                  <c:v>33.15</c:v>
                </c:pt>
                <c:pt idx="170">
                  <c:v>33.344999999999999</c:v>
                </c:pt>
                <c:pt idx="171">
                  <c:v>33.54</c:v>
                </c:pt>
                <c:pt idx="172">
                  <c:v>33.734999999999999</c:v>
                </c:pt>
                <c:pt idx="173">
                  <c:v>33.93</c:v>
                </c:pt>
                <c:pt idx="174">
                  <c:v>34.125</c:v>
                </c:pt>
                <c:pt idx="175">
                  <c:v>34.32</c:v>
                </c:pt>
                <c:pt idx="176">
                  <c:v>34.515000000000001</c:v>
                </c:pt>
                <c:pt idx="177">
                  <c:v>34.71</c:v>
                </c:pt>
                <c:pt idx="178">
                  <c:v>34.905000000000001</c:v>
                </c:pt>
                <c:pt idx="179">
                  <c:v>35.1</c:v>
                </c:pt>
                <c:pt idx="180">
                  <c:v>35.295000000000002</c:v>
                </c:pt>
                <c:pt idx="181">
                  <c:v>35.49</c:v>
                </c:pt>
                <c:pt idx="182">
                  <c:v>35.685000000000002</c:v>
                </c:pt>
                <c:pt idx="183">
                  <c:v>35.880000000000003</c:v>
                </c:pt>
                <c:pt idx="184">
                  <c:v>36.075000000000003</c:v>
                </c:pt>
                <c:pt idx="185">
                  <c:v>36.270000000000003</c:v>
                </c:pt>
                <c:pt idx="186">
                  <c:v>36.465000000000003</c:v>
                </c:pt>
                <c:pt idx="187">
                  <c:v>36.660000000000004</c:v>
                </c:pt>
                <c:pt idx="188">
                  <c:v>36.855000000000004</c:v>
                </c:pt>
                <c:pt idx="189">
                  <c:v>37.050000000000004</c:v>
                </c:pt>
                <c:pt idx="190">
                  <c:v>37.245000000000005</c:v>
                </c:pt>
                <c:pt idx="191">
                  <c:v>37.44</c:v>
                </c:pt>
                <c:pt idx="192">
                  <c:v>37.634999999999998</c:v>
                </c:pt>
                <c:pt idx="193">
                  <c:v>37.83</c:v>
                </c:pt>
                <c:pt idx="194">
                  <c:v>38.024999999999999</c:v>
                </c:pt>
                <c:pt idx="195">
                  <c:v>38.22</c:v>
                </c:pt>
                <c:pt idx="196">
                  <c:v>38.414999999999999</c:v>
                </c:pt>
                <c:pt idx="197">
                  <c:v>38.61</c:v>
                </c:pt>
                <c:pt idx="198">
                  <c:v>38.805</c:v>
                </c:pt>
                <c:pt idx="199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3EE-486D-9039-1656263D6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65440"/>
        <c:axId val="1402067104"/>
      </c:scatterChart>
      <c:valAx>
        <c:axId val="140206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7104"/>
        <c:crosses val="autoZero"/>
        <c:crossBetween val="midCat"/>
      </c:valAx>
      <c:valAx>
        <c:axId val="1402067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5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(validation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LR_ValidationLiftChart1!$BE$4:$BE$13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LR_ValidationLiftChart1!$BF$4:$BF$13</c:f>
              <c:numCache>
                <c:formatCode>General</c:formatCode>
                <c:ptCount val="10"/>
                <c:pt idx="0">
                  <c:v>1.0256410256410255</c:v>
                </c:pt>
                <c:pt idx="1">
                  <c:v>0.76923076923076916</c:v>
                </c:pt>
                <c:pt idx="2">
                  <c:v>1.5384615384615383</c:v>
                </c:pt>
                <c:pt idx="3">
                  <c:v>1.0256410256410255</c:v>
                </c:pt>
                <c:pt idx="4">
                  <c:v>2.3076923076923075</c:v>
                </c:pt>
                <c:pt idx="5">
                  <c:v>1.7948717948717947</c:v>
                </c:pt>
                <c:pt idx="6">
                  <c:v>0.51282051282051277</c:v>
                </c:pt>
                <c:pt idx="7">
                  <c:v>0.51282051282051277</c:v>
                </c:pt>
                <c:pt idx="8">
                  <c:v>0.51282051282051277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1-4DE8-984B-538D8E821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061696"/>
        <c:axId val="1402065440"/>
      </c:barChart>
      <c:catAx>
        <c:axId val="14020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5440"/>
        <c:crosses val="autoZero"/>
        <c:auto val="1"/>
        <c:lblAlgn val="ctr"/>
        <c:lblOffset val="100"/>
        <c:noMultiLvlLbl val="0"/>
      </c:catAx>
      <c:valAx>
        <c:axId val="1402065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0.609651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LR_ValidationLiftChart1!$BZ$2:$BZ$120</c:f>
              <c:numCache>
                <c:formatCode>General</c:formatCode>
                <c:ptCount val="119"/>
                <c:pt idx="0">
                  <c:v>0</c:v>
                </c:pt>
                <c:pt idx="1">
                  <c:v>6.2111801242236021E-3</c:v>
                </c:pt>
                <c:pt idx="2">
                  <c:v>1.2422360248447204E-2</c:v>
                </c:pt>
                <c:pt idx="3">
                  <c:v>1.8633540372670808E-2</c:v>
                </c:pt>
                <c:pt idx="4">
                  <c:v>3.1055900621118012E-2</c:v>
                </c:pt>
                <c:pt idx="5">
                  <c:v>3.7267080745341616E-2</c:v>
                </c:pt>
                <c:pt idx="6">
                  <c:v>4.3478260869565216E-2</c:v>
                </c:pt>
                <c:pt idx="7">
                  <c:v>4.9689440993788817E-2</c:v>
                </c:pt>
                <c:pt idx="8">
                  <c:v>5.5900621118012424E-2</c:v>
                </c:pt>
                <c:pt idx="9">
                  <c:v>6.2111801242236024E-2</c:v>
                </c:pt>
                <c:pt idx="10">
                  <c:v>8.0745341614906832E-2</c:v>
                </c:pt>
                <c:pt idx="11">
                  <c:v>9.3167701863354033E-2</c:v>
                </c:pt>
                <c:pt idx="12">
                  <c:v>9.3167701863354033E-2</c:v>
                </c:pt>
                <c:pt idx="13">
                  <c:v>9.3167701863354033E-2</c:v>
                </c:pt>
                <c:pt idx="14">
                  <c:v>9.3167701863354033E-2</c:v>
                </c:pt>
                <c:pt idx="15">
                  <c:v>9.9378881987577633E-2</c:v>
                </c:pt>
                <c:pt idx="16">
                  <c:v>9.9378881987577633E-2</c:v>
                </c:pt>
                <c:pt idx="17">
                  <c:v>0.10559006211180125</c:v>
                </c:pt>
                <c:pt idx="18">
                  <c:v>0.11180124223602485</c:v>
                </c:pt>
                <c:pt idx="19">
                  <c:v>0.11801242236024845</c:v>
                </c:pt>
                <c:pt idx="20">
                  <c:v>0.13664596273291926</c:v>
                </c:pt>
                <c:pt idx="21">
                  <c:v>0.14285714285714285</c:v>
                </c:pt>
                <c:pt idx="22">
                  <c:v>0.14285714285714285</c:v>
                </c:pt>
                <c:pt idx="23">
                  <c:v>0.14906832298136646</c:v>
                </c:pt>
                <c:pt idx="24">
                  <c:v>0.18012422360248448</c:v>
                </c:pt>
                <c:pt idx="25">
                  <c:v>0.19875776397515527</c:v>
                </c:pt>
                <c:pt idx="26">
                  <c:v>0.19875776397515527</c:v>
                </c:pt>
                <c:pt idx="27">
                  <c:v>0.21118012422360249</c:v>
                </c:pt>
                <c:pt idx="28">
                  <c:v>0.21739130434782608</c:v>
                </c:pt>
                <c:pt idx="29">
                  <c:v>0.2236024844720497</c:v>
                </c:pt>
                <c:pt idx="30">
                  <c:v>0.2236024844720497</c:v>
                </c:pt>
                <c:pt idx="31">
                  <c:v>0.22981366459627328</c:v>
                </c:pt>
                <c:pt idx="32">
                  <c:v>0.2360248447204969</c:v>
                </c:pt>
                <c:pt idx="33">
                  <c:v>0.2484472049689441</c:v>
                </c:pt>
                <c:pt idx="34">
                  <c:v>0.2608695652173913</c:v>
                </c:pt>
                <c:pt idx="35">
                  <c:v>0.2608695652173913</c:v>
                </c:pt>
                <c:pt idx="36">
                  <c:v>0.27329192546583853</c:v>
                </c:pt>
                <c:pt idx="37">
                  <c:v>0.27329192546583853</c:v>
                </c:pt>
                <c:pt idx="38">
                  <c:v>0.27950310559006208</c:v>
                </c:pt>
                <c:pt idx="39">
                  <c:v>0.2857142857142857</c:v>
                </c:pt>
                <c:pt idx="40">
                  <c:v>0.29192546583850931</c:v>
                </c:pt>
                <c:pt idx="41">
                  <c:v>0.29192546583850931</c:v>
                </c:pt>
                <c:pt idx="42">
                  <c:v>0.3105590062111801</c:v>
                </c:pt>
                <c:pt idx="43">
                  <c:v>0.34161490683229812</c:v>
                </c:pt>
                <c:pt idx="44">
                  <c:v>0.34782608695652173</c:v>
                </c:pt>
                <c:pt idx="45">
                  <c:v>0.36024844720496896</c:v>
                </c:pt>
                <c:pt idx="46">
                  <c:v>0.37888198757763975</c:v>
                </c:pt>
                <c:pt idx="47">
                  <c:v>0.39130434782608697</c:v>
                </c:pt>
                <c:pt idx="48">
                  <c:v>0.39130434782608697</c:v>
                </c:pt>
                <c:pt idx="49">
                  <c:v>0.39130434782608697</c:v>
                </c:pt>
                <c:pt idx="50">
                  <c:v>0.40372670807453415</c:v>
                </c:pt>
                <c:pt idx="51">
                  <c:v>0.40372670807453415</c:v>
                </c:pt>
                <c:pt idx="52">
                  <c:v>0.42857142857142855</c:v>
                </c:pt>
                <c:pt idx="53">
                  <c:v>0.43478260869565216</c:v>
                </c:pt>
                <c:pt idx="54">
                  <c:v>0.44720496894409939</c:v>
                </c:pt>
                <c:pt idx="55">
                  <c:v>0.453416149068323</c:v>
                </c:pt>
                <c:pt idx="56">
                  <c:v>0.45962732919254656</c:v>
                </c:pt>
                <c:pt idx="57">
                  <c:v>0.46583850931677018</c:v>
                </c:pt>
                <c:pt idx="58">
                  <c:v>0.46583850931677018</c:v>
                </c:pt>
                <c:pt idx="59">
                  <c:v>0.47826086956521741</c:v>
                </c:pt>
                <c:pt idx="60">
                  <c:v>0.47826086956521741</c:v>
                </c:pt>
                <c:pt idx="61">
                  <c:v>0.48447204968944102</c:v>
                </c:pt>
                <c:pt idx="62">
                  <c:v>0.50931677018633537</c:v>
                </c:pt>
                <c:pt idx="63">
                  <c:v>0.52173913043478259</c:v>
                </c:pt>
                <c:pt idx="64">
                  <c:v>0.52795031055900621</c:v>
                </c:pt>
                <c:pt idx="65">
                  <c:v>0.52795031055900621</c:v>
                </c:pt>
                <c:pt idx="66">
                  <c:v>0.53416149068322982</c:v>
                </c:pt>
                <c:pt idx="67">
                  <c:v>0.53416149068322982</c:v>
                </c:pt>
                <c:pt idx="68">
                  <c:v>0.54037267080745344</c:v>
                </c:pt>
                <c:pt idx="69">
                  <c:v>0.54658385093167705</c:v>
                </c:pt>
                <c:pt idx="70">
                  <c:v>0.5714285714285714</c:v>
                </c:pt>
                <c:pt idx="71">
                  <c:v>0.58385093167701863</c:v>
                </c:pt>
                <c:pt idx="72">
                  <c:v>0.60248447204968947</c:v>
                </c:pt>
                <c:pt idx="73">
                  <c:v>0.6149068322981367</c:v>
                </c:pt>
                <c:pt idx="74">
                  <c:v>0.62732919254658381</c:v>
                </c:pt>
                <c:pt idx="75">
                  <c:v>0.63975155279503104</c:v>
                </c:pt>
                <c:pt idx="76">
                  <c:v>0.65217391304347827</c:v>
                </c:pt>
                <c:pt idx="77">
                  <c:v>0.65838509316770188</c:v>
                </c:pt>
                <c:pt idx="78">
                  <c:v>0.6645962732919255</c:v>
                </c:pt>
                <c:pt idx="79">
                  <c:v>0.67701863354037262</c:v>
                </c:pt>
                <c:pt idx="80">
                  <c:v>0.68944099378881984</c:v>
                </c:pt>
                <c:pt idx="81">
                  <c:v>0.69565217391304346</c:v>
                </c:pt>
                <c:pt idx="82">
                  <c:v>0.69565217391304346</c:v>
                </c:pt>
                <c:pt idx="83">
                  <c:v>0.70186335403726707</c:v>
                </c:pt>
                <c:pt idx="84">
                  <c:v>0.70807453416149069</c:v>
                </c:pt>
                <c:pt idx="85">
                  <c:v>0.72670807453416153</c:v>
                </c:pt>
                <c:pt idx="86">
                  <c:v>0.74534161490683226</c:v>
                </c:pt>
                <c:pt idx="87">
                  <c:v>0.75155279503105588</c:v>
                </c:pt>
                <c:pt idx="88">
                  <c:v>0.7639751552795031</c:v>
                </c:pt>
                <c:pt idx="89">
                  <c:v>0.7639751552795031</c:v>
                </c:pt>
                <c:pt idx="90">
                  <c:v>0.77639751552795033</c:v>
                </c:pt>
                <c:pt idx="91">
                  <c:v>0.78881987577639756</c:v>
                </c:pt>
                <c:pt idx="92">
                  <c:v>0.79503105590062106</c:v>
                </c:pt>
                <c:pt idx="93">
                  <c:v>0.80124223602484468</c:v>
                </c:pt>
                <c:pt idx="94">
                  <c:v>0.80745341614906829</c:v>
                </c:pt>
                <c:pt idx="95">
                  <c:v>0.81366459627329191</c:v>
                </c:pt>
                <c:pt idx="96">
                  <c:v>0.81987577639751552</c:v>
                </c:pt>
                <c:pt idx="97">
                  <c:v>0.82608695652173914</c:v>
                </c:pt>
                <c:pt idx="98">
                  <c:v>0.83229813664596275</c:v>
                </c:pt>
                <c:pt idx="99">
                  <c:v>0.83850931677018636</c:v>
                </c:pt>
                <c:pt idx="100">
                  <c:v>0.8571428571428571</c:v>
                </c:pt>
                <c:pt idx="101">
                  <c:v>0.86956521739130432</c:v>
                </c:pt>
                <c:pt idx="102">
                  <c:v>0.87577639751552794</c:v>
                </c:pt>
                <c:pt idx="103">
                  <c:v>0.88819875776397517</c:v>
                </c:pt>
                <c:pt idx="104">
                  <c:v>0.89440993788819878</c:v>
                </c:pt>
                <c:pt idx="105">
                  <c:v>0.90683229813664601</c:v>
                </c:pt>
                <c:pt idx="106">
                  <c:v>0.91304347826086951</c:v>
                </c:pt>
                <c:pt idx="107">
                  <c:v>0.92546583850931674</c:v>
                </c:pt>
                <c:pt idx="108">
                  <c:v>0.93167701863354035</c:v>
                </c:pt>
                <c:pt idx="109">
                  <c:v>0.93788819875776397</c:v>
                </c:pt>
                <c:pt idx="110">
                  <c:v>0.94409937888198758</c:v>
                </c:pt>
                <c:pt idx="111">
                  <c:v>0.9503105590062112</c:v>
                </c:pt>
                <c:pt idx="112">
                  <c:v>0.95652173913043481</c:v>
                </c:pt>
                <c:pt idx="113">
                  <c:v>0.96273291925465843</c:v>
                </c:pt>
                <c:pt idx="114">
                  <c:v>0.96894409937888204</c:v>
                </c:pt>
                <c:pt idx="115">
                  <c:v>0.97515527950310554</c:v>
                </c:pt>
                <c:pt idx="116">
                  <c:v>0.98136645962732916</c:v>
                </c:pt>
                <c:pt idx="117">
                  <c:v>0.98757763975155277</c:v>
                </c:pt>
                <c:pt idx="118">
                  <c:v>1</c:v>
                </c:pt>
              </c:numCache>
            </c:numRef>
          </c:xVal>
          <c:yVal>
            <c:numRef>
              <c:f>LR_ValidationLiftChart1!$CA$2:$CA$120</c:f>
              <c:numCache>
                <c:formatCode>General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2.564102564102564E-2</c:v>
                </c:pt>
                <c:pt idx="11">
                  <c:v>2.564102564102564E-2</c:v>
                </c:pt>
                <c:pt idx="12">
                  <c:v>5.128205128205128E-2</c:v>
                </c:pt>
                <c:pt idx="13">
                  <c:v>7.6923076923076927E-2</c:v>
                </c:pt>
                <c:pt idx="14">
                  <c:v>0.10256410256410256</c:v>
                </c:pt>
                <c:pt idx="15">
                  <c:v>0.10256410256410256</c:v>
                </c:pt>
                <c:pt idx="16">
                  <c:v>0.12820512820512819</c:v>
                </c:pt>
                <c:pt idx="17">
                  <c:v>0.12820512820512819</c:v>
                </c:pt>
                <c:pt idx="18">
                  <c:v>0.12820512820512819</c:v>
                </c:pt>
                <c:pt idx="19">
                  <c:v>0.12820512820512819</c:v>
                </c:pt>
                <c:pt idx="20">
                  <c:v>0.12820512820512819</c:v>
                </c:pt>
                <c:pt idx="21">
                  <c:v>0.12820512820512819</c:v>
                </c:pt>
                <c:pt idx="22">
                  <c:v>0.15384615384615385</c:v>
                </c:pt>
                <c:pt idx="23">
                  <c:v>0.15384615384615385</c:v>
                </c:pt>
                <c:pt idx="24">
                  <c:v>0.15384615384615385</c:v>
                </c:pt>
                <c:pt idx="25">
                  <c:v>0.15384615384615385</c:v>
                </c:pt>
                <c:pt idx="26">
                  <c:v>0.17948717948717949</c:v>
                </c:pt>
                <c:pt idx="27">
                  <c:v>0.17948717948717949</c:v>
                </c:pt>
                <c:pt idx="28">
                  <c:v>0.17948717948717949</c:v>
                </c:pt>
                <c:pt idx="29">
                  <c:v>0.20512820512820512</c:v>
                </c:pt>
                <c:pt idx="30">
                  <c:v>0.23076923076923078</c:v>
                </c:pt>
                <c:pt idx="31">
                  <c:v>0.23076923076923078</c:v>
                </c:pt>
                <c:pt idx="32">
                  <c:v>0.23076923076923078</c:v>
                </c:pt>
                <c:pt idx="33">
                  <c:v>0.23076923076923078</c:v>
                </c:pt>
                <c:pt idx="34">
                  <c:v>0.23076923076923078</c:v>
                </c:pt>
                <c:pt idx="35">
                  <c:v>0.28205128205128205</c:v>
                </c:pt>
                <c:pt idx="36">
                  <c:v>0.28205128205128205</c:v>
                </c:pt>
                <c:pt idx="37">
                  <c:v>0.30769230769230771</c:v>
                </c:pt>
                <c:pt idx="38">
                  <c:v>0.30769230769230771</c:v>
                </c:pt>
                <c:pt idx="39">
                  <c:v>0.30769230769230771</c:v>
                </c:pt>
                <c:pt idx="40">
                  <c:v>0.33333333333333331</c:v>
                </c:pt>
                <c:pt idx="41">
                  <c:v>0.35897435897435898</c:v>
                </c:pt>
                <c:pt idx="42">
                  <c:v>0.38461538461538464</c:v>
                </c:pt>
                <c:pt idx="43">
                  <c:v>0.41025641025641024</c:v>
                </c:pt>
                <c:pt idx="44">
                  <c:v>0.41025641025641024</c:v>
                </c:pt>
                <c:pt idx="45">
                  <c:v>0.4358974358974359</c:v>
                </c:pt>
                <c:pt idx="46">
                  <c:v>0.4358974358974359</c:v>
                </c:pt>
                <c:pt idx="47">
                  <c:v>0.4358974358974359</c:v>
                </c:pt>
                <c:pt idx="48">
                  <c:v>0.46153846153846156</c:v>
                </c:pt>
                <c:pt idx="49">
                  <c:v>0.48717948717948717</c:v>
                </c:pt>
                <c:pt idx="50">
                  <c:v>0.51282051282051277</c:v>
                </c:pt>
                <c:pt idx="51">
                  <c:v>0.53846153846153844</c:v>
                </c:pt>
                <c:pt idx="52">
                  <c:v>0.53846153846153844</c:v>
                </c:pt>
                <c:pt idx="53">
                  <c:v>0.58974358974358976</c:v>
                </c:pt>
                <c:pt idx="54">
                  <c:v>0.58974358974358976</c:v>
                </c:pt>
                <c:pt idx="55">
                  <c:v>0.64102564102564108</c:v>
                </c:pt>
                <c:pt idx="56">
                  <c:v>0.66666666666666663</c:v>
                </c:pt>
                <c:pt idx="57">
                  <c:v>0.66666666666666663</c:v>
                </c:pt>
                <c:pt idx="58">
                  <c:v>0.69230769230769229</c:v>
                </c:pt>
                <c:pt idx="59">
                  <c:v>0.71794871794871795</c:v>
                </c:pt>
                <c:pt idx="60">
                  <c:v>0.74358974358974361</c:v>
                </c:pt>
                <c:pt idx="61">
                  <c:v>0.74358974358974361</c:v>
                </c:pt>
                <c:pt idx="62">
                  <c:v>0.74358974358974361</c:v>
                </c:pt>
                <c:pt idx="63">
                  <c:v>0.76923076923076927</c:v>
                </c:pt>
                <c:pt idx="64">
                  <c:v>0.76923076923076927</c:v>
                </c:pt>
                <c:pt idx="65">
                  <c:v>0.79487179487179482</c:v>
                </c:pt>
                <c:pt idx="66">
                  <c:v>0.79487179487179482</c:v>
                </c:pt>
                <c:pt idx="67">
                  <c:v>0.82051282051282048</c:v>
                </c:pt>
                <c:pt idx="68">
                  <c:v>0.82051282051282048</c:v>
                </c:pt>
                <c:pt idx="69">
                  <c:v>0.84615384615384615</c:v>
                </c:pt>
                <c:pt idx="70">
                  <c:v>0.84615384615384615</c:v>
                </c:pt>
                <c:pt idx="71">
                  <c:v>0.87179487179487181</c:v>
                </c:pt>
                <c:pt idx="72">
                  <c:v>0.87179487179487181</c:v>
                </c:pt>
                <c:pt idx="73">
                  <c:v>0.87179487179487181</c:v>
                </c:pt>
                <c:pt idx="74">
                  <c:v>0.87179487179487181</c:v>
                </c:pt>
                <c:pt idx="75">
                  <c:v>0.89743589743589747</c:v>
                </c:pt>
                <c:pt idx="76">
                  <c:v>0.89743589743589747</c:v>
                </c:pt>
                <c:pt idx="77">
                  <c:v>0.89743589743589747</c:v>
                </c:pt>
                <c:pt idx="78">
                  <c:v>0.89743589743589747</c:v>
                </c:pt>
                <c:pt idx="79">
                  <c:v>0.89743589743589747</c:v>
                </c:pt>
                <c:pt idx="80">
                  <c:v>0.89743589743589747</c:v>
                </c:pt>
                <c:pt idx="81">
                  <c:v>0.89743589743589747</c:v>
                </c:pt>
                <c:pt idx="82">
                  <c:v>0.92307692307692313</c:v>
                </c:pt>
                <c:pt idx="83">
                  <c:v>0.92307692307692313</c:v>
                </c:pt>
                <c:pt idx="84">
                  <c:v>0.92307692307692313</c:v>
                </c:pt>
                <c:pt idx="85">
                  <c:v>0.92307692307692313</c:v>
                </c:pt>
                <c:pt idx="86">
                  <c:v>0.92307692307692313</c:v>
                </c:pt>
                <c:pt idx="87">
                  <c:v>0.92307692307692313</c:v>
                </c:pt>
                <c:pt idx="88">
                  <c:v>0.92307692307692313</c:v>
                </c:pt>
                <c:pt idx="89">
                  <c:v>0.94871794871794868</c:v>
                </c:pt>
                <c:pt idx="90">
                  <c:v>0.97435897435897434</c:v>
                </c:pt>
                <c:pt idx="91">
                  <c:v>0.97435897435897434</c:v>
                </c:pt>
                <c:pt idx="92">
                  <c:v>0.97435897435897434</c:v>
                </c:pt>
                <c:pt idx="93">
                  <c:v>0.97435897435897434</c:v>
                </c:pt>
                <c:pt idx="94">
                  <c:v>0.97435897435897434</c:v>
                </c:pt>
                <c:pt idx="95">
                  <c:v>0.97435897435897434</c:v>
                </c:pt>
                <c:pt idx="96">
                  <c:v>0.97435897435897434</c:v>
                </c:pt>
                <c:pt idx="97">
                  <c:v>0.97435897435897434</c:v>
                </c:pt>
                <c:pt idx="98">
                  <c:v>0.97435897435897434</c:v>
                </c:pt>
                <c:pt idx="99">
                  <c:v>0.97435897435897434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3E-483A-8EBA-25BF4996E53F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LR_ValidationLiftChart1!$BZ$2:$BZ$120</c:f>
              <c:numCache>
                <c:formatCode>General</c:formatCode>
                <c:ptCount val="119"/>
                <c:pt idx="0">
                  <c:v>0</c:v>
                </c:pt>
                <c:pt idx="1">
                  <c:v>6.2111801242236021E-3</c:v>
                </c:pt>
                <c:pt idx="2">
                  <c:v>1.2422360248447204E-2</c:v>
                </c:pt>
                <c:pt idx="3">
                  <c:v>1.8633540372670808E-2</c:v>
                </c:pt>
                <c:pt idx="4">
                  <c:v>3.1055900621118012E-2</c:v>
                </c:pt>
                <c:pt idx="5">
                  <c:v>3.7267080745341616E-2</c:v>
                </c:pt>
                <c:pt idx="6">
                  <c:v>4.3478260869565216E-2</c:v>
                </c:pt>
                <c:pt idx="7">
                  <c:v>4.9689440993788817E-2</c:v>
                </c:pt>
                <c:pt idx="8">
                  <c:v>5.5900621118012424E-2</c:v>
                </c:pt>
                <c:pt idx="9">
                  <c:v>6.2111801242236024E-2</c:v>
                </c:pt>
                <c:pt idx="10">
                  <c:v>8.0745341614906832E-2</c:v>
                </c:pt>
                <c:pt idx="11">
                  <c:v>9.3167701863354033E-2</c:v>
                </c:pt>
                <c:pt idx="12">
                  <c:v>9.3167701863354033E-2</c:v>
                </c:pt>
                <c:pt idx="13">
                  <c:v>9.3167701863354033E-2</c:v>
                </c:pt>
                <c:pt idx="14">
                  <c:v>9.3167701863354033E-2</c:v>
                </c:pt>
                <c:pt idx="15">
                  <c:v>9.9378881987577633E-2</c:v>
                </c:pt>
                <c:pt idx="16">
                  <c:v>9.9378881987577633E-2</c:v>
                </c:pt>
                <c:pt idx="17">
                  <c:v>0.10559006211180125</c:v>
                </c:pt>
                <c:pt idx="18">
                  <c:v>0.11180124223602485</c:v>
                </c:pt>
                <c:pt idx="19">
                  <c:v>0.11801242236024845</c:v>
                </c:pt>
                <c:pt idx="20">
                  <c:v>0.13664596273291926</c:v>
                </c:pt>
                <c:pt idx="21">
                  <c:v>0.14285714285714285</c:v>
                </c:pt>
                <c:pt idx="22">
                  <c:v>0.14285714285714285</c:v>
                </c:pt>
                <c:pt idx="23">
                  <c:v>0.14906832298136646</c:v>
                </c:pt>
                <c:pt idx="24">
                  <c:v>0.18012422360248448</c:v>
                </c:pt>
                <c:pt idx="25">
                  <c:v>0.19875776397515527</c:v>
                </c:pt>
                <c:pt idx="26">
                  <c:v>0.19875776397515527</c:v>
                </c:pt>
                <c:pt idx="27">
                  <c:v>0.21118012422360249</c:v>
                </c:pt>
                <c:pt idx="28">
                  <c:v>0.21739130434782608</c:v>
                </c:pt>
                <c:pt idx="29">
                  <c:v>0.2236024844720497</c:v>
                </c:pt>
                <c:pt idx="30">
                  <c:v>0.2236024844720497</c:v>
                </c:pt>
                <c:pt idx="31">
                  <c:v>0.22981366459627328</c:v>
                </c:pt>
                <c:pt idx="32">
                  <c:v>0.2360248447204969</c:v>
                </c:pt>
                <c:pt idx="33">
                  <c:v>0.2484472049689441</c:v>
                </c:pt>
                <c:pt idx="34">
                  <c:v>0.2608695652173913</c:v>
                </c:pt>
                <c:pt idx="35">
                  <c:v>0.2608695652173913</c:v>
                </c:pt>
                <c:pt idx="36">
                  <c:v>0.27329192546583853</c:v>
                </c:pt>
                <c:pt idx="37">
                  <c:v>0.27329192546583853</c:v>
                </c:pt>
                <c:pt idx="38">
                  <c:v>0.27950310559006208</c:v>
                </c:pt>
                <c:pt idx="39">
                  <c:v>0.2857142857142857</c:v>
                </c:pt>
                <c:pt idx="40">
                  <c:v>0.29192546583850931</c:v>
                </c:pt>
                <c:pt idx="41">
                  <c:v>0.29192546583850931</c:v>
                </c:pt>
                <c:pt idx="42">
                  <c:v>0.3105590062111801</c:v>
                </c:pt>
                <c:pt idx="43">
                  <c:v>0.34161490683229812</c:v>
                </c:pt>
                <c:pt idx="44">
                  <c:v>0.34782608695652173</c:v>
                </c:pt>
                <c:pt idx="45">
                  <c:v>0.36024844720496896</c:v>
                </c:pt>
                <c:pt idx="46">
                  <c:v>0.37888198757763975</c:v>
                </c:pt>
                <c:pt idx="47">
                  <c:v>0.39130434782608697</c:v>
                </c:pt>
                <c:pt idx="48">
                  <c:v>0.39130434782608697</c:v>
                </c:pt>
                <c:pt idx="49">
                  <c:v>0.39130434782608697</c:v>
                </c:pt>
                <c:pt idx="50">
                  <c:v>0.40372670807453415</c:v>
                </c:pt>
                <c:pt idx="51">
                  <c:v>0.40372670807453415</c:v>
                </c:pt>
                <c:pt idx="52">
                  <c:v>0.42857142857142855</c:v>
                </c:pt>
                <c:pt idx="53">
                  <c:v>0.43478260869565216</c:v>
                </c:pt>
                <c:pt idx="54">
                  <c:v>0.44720496894409939</c:v>
                </c:pt>
                <c:pt idx="55">
                  <c:v>0.453416149068323</c:v>
                </c:pt>
                <c:pt idx="56">
                  <c:v>0.45962732919254656</c:v>
                </c:pt>
                <c:pt idx="57">
                  <c:v>0.46583850931677018</c:v>
                </c:pt>
                <c:pt idx="58">
                  <c:v>0.46583850931677018</c:v>
                </c:pt>
                <c:pt idx="59">
                  <c:v>0.47826086956521741</c:v>
                </c:pt>
                <c:pt idx="60">
                  <c:v>0.47826086956521741</c:v>
                </c:pt>
                <c:pt idx="61">
                  <c:v>0.48447204968944102</c:v>
                </c:pt>
                <c:pt idx="62">
                  <c:v>0.50931677018633537</c:v>
                </c:pt>
                <c:pt idx="63">
                  <c:v>0.52173913043478259</c:v>
                </c:pt>
                <c:pt idx="64">
                  <c:v>0.52795031055900621</c:v>
                </c:pt>
                <c:pt idx="65">
                  <c:v>0.52795031055900621</c:v>
                </c:pt>
                <c:pt idx="66">
                  <c:v>0.53416149068322982</c:v>
                </c:pt>
                <c:pt idx="67">
                  <c:v>0.53416149068322982</c:v>
                </c:pt>
                <c:pt idx="68">
                  <c:v>0.54037267080745344</c:v>
                </c:pt>
                <c:pt idx="69">
                  <c:v>0.54658385093167705</c:v>
                </c:pt>
                <c:pt idx="70">
                  <c:v>0.5714285714285714</c:v>
                </c:pt>
                <c:pt idx="71">
                  <c:v>0.58385093167701863</c:v>
                </c:pt>
                <c:pt idx="72">
                  <c:v>0.60248447204968947</c:v>
                </c:pt>
                <c:pt idx="73">
                  <c:v>0.6149068322981367</c:v>
                </c:pt>
                <c:pt idx="74">
                  <c:v>0.62732919254658381</c:v>
                </c:pt>
                <c:pt idx="75">
                  <c:v>0.63975155279503104</c:v>
                </c:pt>
                <c:pt idx="76">
                  <c:v>0.65217391304347827</c:v>
                </c:pt>
                <c:pt idx="77">
                  <c:v>0.65838509316770188</c:v>
                </c:pt>
                <c:pt idx="78">
                  <c:v>0.6645962732919255</c:v>
                </c:pt>
                <c:pt idx="79">
                  <c:v>0.67701863354037262</c:v>
                </c:pt>
                <c:pt idx="80">
                  <c:v>0.68944099378881984</c:v>
                </c:pt>
                <c:pt idx="81">
                  <c:v>0.69565217391304346</c:v>
                </c:pt>
                <c:pt idx="82">
                  <c:v>0.69565217391304346</c:v>
                </c:pt>
                <c:pt idx="83">
                  <c:v>0.70186335403726707</c:v>
                </c:pt>
                <c:pt idx="84">
                  <c:v>0.70807453416149069</c:v>
                </c:pt>
                <c:pt idx="85">
                  <c:v>0.72670807453416153</c:v>
                </c:pt>
                <c:pt idx="86">
                  <c:v>0.74534161490683226</c:v>
                </c:pt>
                <c:pt idx="87">
                  <c:v>0.75155279503105588</c:v>
                </c:pt>
                <c:pt idx="88">
                  <c:v>0.7639751552795031</c:v>
                </c:pt>
                <c:pt idx="89">
                  <c:v>0.7639751552795031</c:v>
                </c:pt>
                <c:pt idx="90">
                  <c:v>0.77639751552795033</c:v>
                </c:pt>
                <c:pt idx="91">
                  <c:v>0.78881987577639756</c:v>
                </c:pt>
                <c:pt idx="92">
                  <c:v>0.79503105590062106</c:v>
                </c:pt>
                <c:pt idx="93">
                  <c:v>0.80124223602484468</c:v>
                </c:pt>
                <c:pt idx="94">
                  <c:v>0.80745341614906829</c:v>
                </c:pt>
                <c:pt idx="95">
                  <c:v>0.81366459627329191</c:v>
                </c:pt>
                <c:pt idx="96">
                  <c:v>0.81987577639751552</c:v>
                </c:pt>
                <c:pt idx="97">
                  <c:v>0.82608695652173914</c:v>
                </c:pt>
                <c:pt idx="98">
                  <c:v>0.83229813664596275</c:v>
                </c:pt>
                <c:pt idx="99">
                  <c:v>0.83850931677018636</c:v>
                </c:pt>
                <c:pt idx="100">
                  <c:v>0.8571428571428571</c:v>
                </c:pt>
                <c:pt idx="101">
                  <c:v>0.86956521739130432</c:v>
                </c:pt>
                <c:pt idx="102">
                  <c:v>0.87577639751552794</c:v>
                </c:pt>
                <c:pt idx="103">
                  <c:v>0.88819875776397517</c:v>
                </c:pt>
                <c:pt idx="104">
                  <c:v>0.89440993788819878</c:v>
                </c:pt>
                <c:pt idx="105">
                  <c:v>0.90683229813664601</c:v>
                </c:pt>
                <c:pt idx="106">
                  <c:v>0.91304347826086951</c:v>
                </c:pt>
                <c:pt idx="107">
                  <c:v>0.92546583850931674</c:v>
                </c:pt>
                <c:pt idx="108">
                  <c:v>0.93167701863354035</c:v>
                </c:pt>
                <c:pt idx="109">
                  <c:v>0.93788819875776397</c:v>
                </c:pt>
                <c:pt idx="110">
                  <c:v>0.94409937888198758</c:v>
                </c:pt>
                <c:pt idx="111">
                  <c:v>0.9503105590062112</c:v>
                </c:pt>
                <c:pt idx="112">
                  <c:v>0.95652173913043481</c:v>
                </c:pt>
                <c:pt idx="113">
                  <c:v>0.96273291925465843</c:v>
                </c:pt>
                <c:pt idx="114">
                  <c:v>0.96894409937888204</c:v>
                </c:pt>
                <c:pt idx="115">
                  <c:v>0.97515527950310554</c:v>
                </c:pt>
                <c:pt idx="116">
                  <c:v>0.98136645962732916</c:v>
                </c:pt>
                <c:pt idx="117">
                  <c:v>0.98757763975155277</c:v>
                </c:pt>
                <c:pt idx="118">
                  <c:v>1</c:v>
                </c:pt>
              </c:numCache>
            </c:numRef>
          </c:xVal>
          <c:yVal>
            <c:numRef>
              <c:f>LR_ValidationLiftChart1!$CB$2:$CB$120</c:f>
              <c:numCache>
                <c:formatCode>General</c:formatCode>
                <c:ptCount val="119"/>
                <c:pt idx="0">
                  <c:v>0</c:v>
                </c:pt>
                <c:pt idx="1">
                  <c:v>6.2111801242236021E-3</c:v>
                </c:pt>
                <c:pt idx="2">
                  <c:v>1.2422360248447204E-2</c:v>
                </c:pt>
                <c:pt idx="3">
                  <c:v>1.8633540372670808E-2</c:v>
                </c:pt>
                <c:pt idx="4">
                  <c:v>3.1055900621118012E-2</c:v>
                </c:pt>
                <c:pt idx="5">
                  <c:v>3.7267080745341616E-2</c:v>
                </c:pt>
                <c:pt idx="6">
                  <c:v>4.3478260869565216E-2</c:v>
                </c:pt>
                <c:pt idx="7">
                  <c:v>4.9689440993788817E-2</c:v>
                </c:pt>
                <c:pt idx="8">
                  <c:v>5.5900621118012424E-2</c:v>
                </c:pt>
                <c:pt idx="9">
                  <c:v>6.2111801242236024E-2</c:v>
                </c:pt>
                <c:pt idx="10">
                  <c:v>8.0745341614906832E-2</c:v>
                </c:pt>
                <c:pt idx="11">
                  <c:v>9.3167701863354033E-2</c:v>
                </c:pt>
                <c:pt idx="12">
                  <c:v>9.3167701863354033E-2</c:v>
                </c:pt>
                <c:pt idx="13">
                  <c:v>9.3167701863354033E-2</c:v>
                </c:pt>
                <c:pt idx="14">
                  <c:v>9.3167701863354033E-2</c:v>
                </c:pt>
                <c:pt idx="15">
                  <c:v>9.9378881987577633E-2</c:v>
                </c:pt>
                <c:pt idx="16">
                  <c:v>9.9378881987577633E-2</c:v>
                </c:pt>
                <c:pt idx="17">
                  <c:v>0.10559006211180125</c:v>
                </c:pt>
                <c:pt idx="18">
                  <c:v>0.11180124223602485</c:v>
                </c:pt>
                <c:pt idx="19">
                  <c:v>0.11801242236024845</c:v>
                </c:pt>
                <c:pt idx="20">
                  <c:v>0.13664596273291926</c:v>
                </c:pt>
                <c:pt idx="21">
                  <c:v>0.14285714285714285</c:v>
                </c:pt>
                <c:pt idx="22">
                  <c:v>0.14285714285714285</c:v>
                </c:pt>
                <c:pt idx="23">
                  <c:v>0.14906832298136646</c:v>
                </c:pt>
                <c:pt idx="24">
                  <c:v>0.18012422360248448</c:v>
                </c:pt>
                <c:pt idx="25">
                  <c:v>0.19875776397515527</c:v>
                </c:pt>
                <c:pt idx="26">
                  <c:v>0.19875776397515527</c:v>
                </c:pt>
                <c:pt idx="27">
                  <c:v>0.21118012422360249</c:v>
                </c:pt>
                <c:pt idx="28">
                  <c:v>0.21739130434782608</c:v>
                </c:pt>
                <c:pt idx="29">
                  <c:v>0.2236024844720497</c:v>
                </c:pt>
                <c:pt idx="30">
                  <c:v>0.2236024844720497</c:v>
                </c:pt>
                <c:pt idx="31">
                  <c:v>0.22981366459627328</c:v>
                </c:pt>
                <c:pt idx="32">
                  <c:v>0.2360248447204969</c:v>
                </c:pt>
                <c:pt idx="33">
                  <c:v>0.2484472049689441</c:v>
                </c:pt>
                <c:pt idx="34">
                  <c:v>0.2608695652173913</c:v>
                </c:pt>
                <c:pt idx="35">
                  <c:v>0.2608695652173913</c:v>
                </c:pt>
                <c:pt idx="36">
                  <c:v>0.27329192546583853</c:v>
                </c:pt>
                <c:pt idx="37">
                  <c:v>0.27329192546583853</c:v>
                </c:pt>
                <c:pt idx="38">
                  <c:v>0.27950310559006208</c:v>
                </c:pt>
                <c:pt idx="39">
                  <c:v>0.2857142857142857</c:v>
                </c:pt>
                <c:pt idx="40">
                  <c:v>0.29192546583850931</c:v>
                </c:pt>
                <c:pt idx="41">
                  <c:v>0.29192546583850931</c:v>
                </c:pt>
                <c:pt idx="42">
                  <c:v>0.3105590062111801</c:v>
                </c:pt>
                <c:pt idx="43">
                  <c:v>0.34161490683229812</c:v>
                </c:pt>
                <c:pt idx="44">
                  <c:v>0.34782608695652173</c:v>
                </c:pt>
                <c:pt idx="45">
                  <c:v>0.36024844720496896</c:v>
                </c:pt>
                <c:pt idx="46">
                  <c:v>0.37888198757763975</c:v>
                </c:pt>
                <c:pt idx="47">
                  <c:v>0.39130434782608697</c:v>
                </c:pt>
                <c:pt idx="48">
                  <c:v>0.39130434782608697</c:v>
                </c:pt>
                <c:pt idx="49">
                  <c:v>0.39130434782608697</c:v>
                </c:pt>
                <c:pt idx="50">
                  <c:v>0.40372670807453415</c:v>
                </c:pt>
                <c:pt idx="51">
                  <c:v>0.40372670807453415</c:v>
                </c:pt>
                <c:pt idx="52">
                  <c:v>0.42857142857142855</c:v>
                </c:pt>
                <c:pt idx="53">
                  <c:v>0.43478260869565216</c:v>
                </c:pt>
                <c:pt idx="54">
                  <c:v>0.44720496894409939</c:v>
                </c:pt>
                <c:pt idx="55">
                  <c:v>0.453416149068323</c:v>
                </c:pt>
                <c:pt idx="56">
                  <c:v>0.45962732919254656</c:v>
                </c:pt>
                <c:pt idx="57">
                  <c:v>0.46583850931677018</c:v>
                </c:pt>
                <c:pt idx="58">
                  <c:v>0.46583850931677018</c:v>
                </c:pt>
                <c:pt idx="59">
                  <c:v>0.47826086956521741</c:v>
                </c:pt>
                <c:pt idx="60">
                  <c:v>0.47826086956521741</c:v>
                </c:pt>
                <c:pt idx="61">
                  <c:v>0.48447204968944102</c:v>
                </c:pt>
                <c:pt idx="62">
                  <c:v>0.50931677018633537</c:v>
                </c:pt>
                <c:pt idx="63">
                  <c:v>0.52173913043478259</c:v>
                </c:pt>
                <c:pt idx="64">
                  <c:v>0.52795031055900621</c:v>
                </c:pt>
                <c:pt idx="65">
                  <c:v>0.52795031055900621</c:v>
                </c:pt>
                <c:pt idx="66">
                  <c:v>0.53416149068322982</c:v>
                </c:pt>
                <c:pt idx="67">
                  <c:v>0.53416149068322982</c:v>
                </c:pt>
                <c:pt idx="68">
                  <c:v>0.54037267080745344</c:v>
                </c:pt>
                <c:pt idx="69">
                  <c:v>0.54658385093167705</c:v>
                </c:pt>
                <c:pt idx="70">
                  <c:v>0.5714285714285714</c:v>
                </c:pt>
                <c:pt idx="71">
                  <c:v>0.58385093167701863</c:v>
                </c:pt>
                <c:pt idx="72">
                  <c:v>0.60248447204968947</c:v>
                </c:pt>
                <c:pt idx="73">
                  <c:v>0.6149068322981367</c:v>
                </c:pt>
                <c:pt idx="74">
                  <c:v>0.62732919254658381</c:v>
                </c:pt>
                <c:pt idx="75">
                  <c:v>0.63975155279503104</c:v>
                </c:pt>
                <c:pt idx="76">
                  <c:v>0.65217391304347827</c:v>
                </c:pt>
                <c:pt idx="77">
                  <c:v>0.65838509316770188</c:v>
                </c:pt>
                <c:pt idx="78">
                  <c:v>0.6645962732919255</c:v>
                </c:pt>
                <c:pt idx="79">
                  <c:v>0.67701863354037262</c:v>
                </c:pt>
                <c:pt idx="80">
                  <c:v>0.68944099378881984</c:v>
                </c:pt>
                <c:pt idx="81">
                  <c:v>0.69565217391304346</c:v>
                </c:pt>
                <c:pt idx="82">
                  <c:v>0.69565217391304346</c:v>
                </c:pt>
                <c:pt idx="83">
                  <c:v>0.70186335403726707</c:v>
                </c:pt>
                <c:pt idx="84">
                  <c:v>0.70807453416149069</c:v>
                </c:pt>
                <c:pt idx="85">
                  <c:v>0.72670807453416153</c:v>
                </c:pt>
                <c:pt idx="86">
                  <c:v>0.74534161490683226</c:v>
                </c:pt>
                <c:pt idx="87">
                  <c:v>0.75155279503105588</c:v>
                </c:pt>
                <c:pt idx="88">
                  <c:v>0.7639751552795031</c:v>
                </c:pt>
                <c:pt idx="89">
                  <c:v>0.7639751552795031</c:v>
                </c:pt>
                <c:pt idx="90">
                  <c:v>0.77639751552795033</c:v>
                </c:pt>
                <c:pt idx="91">
                  <c:v>0.78881987577639756</c:v>
                </c:pt>
                <c:pt idx="92">
                  <c:v>0.79503105590062106</c:v>
                </c:pt>
                <c:pt idx="93">
                  <c:v>0.80124223602484468</c:v>
                </c:pt>
                <c:pt idx="94">
                  <c:v>0.80745341614906829</c:v>
                </c:pt>
                <c:pt idx="95">
                  <c:v>0.81366459627329191</c:v>
                </c:pt>
                <c:pt idx="96">
                  <c:v>0.81987577639751552</c:v>
                </c:pt>
                <c:pt idx="97">
                  <c:v>0.82608695652173914</c:v>
                </c:pt>
                <c:pt idx="98">
                  <c:v>0.83229813664596275</c:v>
                </c:pt>
                <c:pt idx="99">
                  <c:v>0.83850931677018636</c:v>
                </c:pt>
                <c:pt idx="100">
                  <c:v>0.8571428571428571</c:v>
                </c:pt>
                <c:pt idx="101">
                  <c:v>0.86956521739130432</c:v>
                </c:pt>
                <c:pt idx="102">
                  <c:v>0.87577639751552794</c:v>
                </c:pt>
                <c:pt idx="103">
                  <c:v>0.88819875776397517</c:v>
                </c:pt>
                <c:pt idx="104">
                  <c:v>0.89440993788819878</c:v>
                </c:pt>
                <c:pt idx="105">
                  <c:v>0.90683229813664601</c:v>
                </c:pt>
                <c:pt idx="106">
                  <c:v>0.91304347826086951</c:v>
                </c:pt>
                <c:pt idx="107">
                  <c:v>0.92546583850931674</c:v>
                </c:pt>
                <c:pt idx="108">
                  <c:v>0.93167701863354035</c:v>
                </c:pt>
                <c:pt idx="109">
                  <c:v>0.93788819875776397</c:v>
                </c:pt>
                <c:pt idx="110">
                  <c:v>0.94409937888198758</c:v>
                </c:pt>
                <c:pt idx="111">
                  <c:v>0.9503105590062112</c:v>
                </c:pt>
                <c:pt idx="112">
                  <c:v>0.95652173913043481</c:v>
                </c:pt>
                <c:pt idx="113">
                  <c:v>0.96273291925465843</c:v>
                </c:pt>
                <c:pt idx="114">
                  <c:v>0.96894409937888204</c:v>
                </c:pt>
                <c:pt idx="115">
                  <c:v>0.97515527950310554</c:v>
                </c:pt>
                <c:pt idx="116">
                  <c:v>0.98136645962732916</c:v>
                </c:pt>
                <c:pt idx="117">
                  <c:v>0.98757763975155277</c:v>
                </c:pt>
                <c:pt idx="1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3E-483A-8EBA-25BF4996E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65856"/>
        <c:axId val="1402066272"/>
      </c:scatterChart>
      <c:valAx>
        <c:axId val="140206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6272"/>
        <c:crosses val="autoZero"/>
        <c:crossBetween val="midCat"/>
      </c:valAx>
      <c:valAx>
        <c:axId val="1402066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585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(training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Dropped when sorted using predicted values</c:v>
          </c:tx>
          <c:spPr>
            <a:ln w="6350"/>
          </c:spPr>
          <c:marker>
            <c:symbol val="none"/>
          </c:marker>
          <c:xVal>
            <c:numRef>
              <c:f>LR_TrainingLiftChart!$AZ$4:$AZ$303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LR_TrainingLiftChart!$BC$4:$BC$303</c:f>
              <c:numCache>
                <c:formatCode>General</c:formatCode>
                <c:ptCount val="3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11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13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16</c:v>
                </c:pt>
                <c:pt idx="107">
                  <c:v>17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22</c:v>
                </c:pt>
                <c:pt idx="117">
                  <c:v>23</c:v>
                </c:pt>
                <c:pt idx="118">
                  <c:v>23</c:v>
                </c:pt>
                <c:pt idx="119">
                  <c:v>23</c:v>
                </c:pt>
                <c:pt idx="120">
                  <c:v>24</c:v>
                </c:pt>
                <c:pt idx="121">
                  <c:v>25</c:v>
                </c:pt>
                <c:pt idx="122">
                  <c:v>25</c:v>
                </c:pt>
                <c:pt idx="123">
                  <c:v>25</c:v>
                </c:pt>
                <c:pt idx="124">
                  <c:v>25</c:v>
                </c:pt>
                <c:pt idx="125">
                  <c:v>26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  <c:pt idx="131">
                  <c:v>27</c:v>
                </c:pt>
                <c:pt idx="132">
                  <c:v>27</c:v>
                </c:pt>
                <c:pt idx="133">
                  <c:v>27</c:v>
                </c:pt>
                <c:pt idx="134">
                  <c:v>28</c:v>
                </c:pt>
                <c:pt idx="135">
                  <c:v>29</c:v>
                </c:pt>
                <c:pt idx="136">
                  <c:v>30</c:v>
                </c:pt>
                <c:pt idx="137">
                  <c:v>30</c:v>
                </c:pt>
                <c:pt idx="138">
                  <c:v>31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31</c:v>
                </c:pt>
                <c:pt idx="143">
                  <c:v>32</c:v>
                </c:pt>
                <c:pt idx="144">
                  <c:v>32</c:v>
                </c:pt>
                <c:pt idx="145">
                  <c:v>32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35</c:v>
                </c:pt>
                <c:pt idx="151">
                  <c:v>36</c:v>
                </c:pt>
                <c:pt idx="152">
                  <c:v>36</c:v>
                </c:pt>
                <c:pt idx="153">
                  <c:v>36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39</c:v>
                </c:pt>
                <c:pt idx="164">
                  <c:v>39</c:v>
                </c:pt>
                <c:pt idx="165">
                  <c:v>39</c:v>
                </c:pt>
                <c:pt idx="166">
                  <c:v>39</c:v>
                </c:pt>
                <c:pt idx="167">
                  <c:v>39</c:v>
                </c:pt>
                <c:pt idx="168">
                  <c:v>39</c:v>
                </c:pt>
                <c:pt idx="169">
                  <c:v>40</c:v>
                </c:pt>
                <c:pt idx="170">
                  <c:v>40</c:v>
                </c:pt>
                <c:pt idx="171">
                  <c:v>41</c:v>
                </c:pt>
                <c:pt idx="172">
                  <c:v>41</c:v>
                </c:pt>
                <c:pt idx="173">
                  <c:v>41</c:v>
                </c:pt>
                <c:pt idx="174">
                  <c:v>41</c:v>
                </c:pt>
                <c:pt idx="175">
                  <c:v>42</c:v>
                </c:pt>
                <c:pt idx="176">
                  <c:v>43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46</c:v>
                </c:pt>
                <c:pt idx="181">
                  <c:v>47</c:v>
                </c:pt>
                <c:pt idx="182">
                  <c:v>48</c:v>
                </c:pt>
                <c:pt idx="183">
                  <c:v>49</c:v>
                </c:pt>
                <c:pt idx="184">
                  <c:v>49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51</c:v>
                </c:pt>
                <c:pt idx="190">
                  <c:v>52</c:v>
                </c:pt>
                <c:pt idx="191">
                  <c:v>53</c:v>
                </c:pt>
                <c:pt idx="192">
                  <c:v>54</c:v>
                </c:pt>
                <c:pt idx="193">
                  <c:v>54</c:v>
                </c:pt>
                <c:pt idx="194">
                  <c:v>54</c:v>
                </c:pt>
                <c:pt idx="195">
                  <c:v>54</c:v>
                </c:pt>
                <c:pt idx="196">
                  <c:v>54</c:v>
                </c:pt>
                <c:pt idx="197">
                  <c:v>54</c:v>
                </c:pt>
                <c:pt idx="198">
                  <c:v>54</c:v>
                </c:pt>
                <c:pt idx="199">
                  <c:v>54</c:v>
                </c:pt>
                <c:pt idx="200">
                  <c:v>54</c:v>
                </c:pt>
                <c:pt idx="201">
                  <c:v>54</c:v>
                </c:pt>
                <c:pt idx="202">
                  <c:v>54</c:v>
                </c:pt>
                <c:pt idx="203">
                  <c:v>55</c:v>
                </c:pt>
                <c:pt idx="204">
                  <c:v>55</c:v>
                </c:pt>
                <c:pt idx="205">
                  <c:v>55</c:v>
                </c:pt>
                <c:pt idx="206">
                  <c:v>55</c:v>
                </c:pt>
                <c:pt idx="207">
                  <c:v>55</c:v>
                </c:pt>
                <c:pt idx="208">
                  <c:v>56</c:v>
                </c:pt>
                <c:pt idx="209">
                  <c:v>56</c:v>
                </c:pt>
                <c:pt idx="210">
                  <c:v>56</c:v>
                </c:pt>
                <c:pt idx="211">
                  <c:v>56</c:v>
                </c:pt>
                <c:pt idx="212">
                  <c:v>56</c:v>
                </c:pt>
                <c:pt idx="213">
                  <c:v>56</c:v>
                </c:pt>
                <c:pt idx="214">
                  <c:v>57</c:v>
                </c:pt>
                <c:pt idx="215">
                  <c:v>57</c:v>
                </c:pt>
                <c:pt idx="216">
                  <c:v>57</c:v>
                </c:pt>
                <c:pt idx="217">
                  <c:v>57</c:v>
                </c:pt>
                <c:pt idx="218">
                  <c:v>57</c:v>
                </c:pt>
                <c:pt idx="219">
                  <c:v>57</c:v>
                </c:pt>
                <c:pt idx="220">
                  <c:v>57</c:v>
                </c:pt>
                <c:pt idx="221">
                  <c:v>57</c:v>
                </c:pt>
                <c:pt idx="222">
                  <c:v>57</c:v>
                </c:pt>
                <c:pt idx="223">
                  <c:v>57</c:v>
                </c:pt>
                <c:pt idx="224">
                  <c:v>57</c:v>
                </c:pt>
                <c:pt idx="225">
                  <c:v>57</c:v>
                </c:pt>
                <c:pt idx="226">
                  <c:v>57</c:v>
                </c:pt>
                <c:pt idx="227">
                  <c:v>57</c:v>
                </c:pt>
                <c:pt idx="228">
                  <c:v>57</c:v>
                </c:pt>
                <c:pt idx="229">
                  <c:v>57</c:v>
                </c:pt>
                <c:pt idx="230">
                  <c:v>58</c:v>
                </c:pt>
                <c:pt idx="231">
                  <c:v>58</c:v>
                </c:pt>
                <c:pt idx="232">
                  <c:v>58</c:v>
                </c:pt>
                <c:pt idx="233">
                  <c:v>58</c:v>
                </c:pt>
                <c:pt idx="234">
                  <c:v>58</c:v>
                </c:pt>
                <c:pt idx="235">
                  <c:v>58</c:v>
                </c:pt>
                <c:pt idx="236">
                  <c:v>58</c:v>
                </c:pt>
                <c:pt idx="237">
                  <c:v>58</c:v>
                </c:pt>
                <c:pt idx="238">
                  <c:v>59</c:v>
                </c:pt>
                <c:pt idx="239">
                  <c:v>59</c:v>
                </c:pt>
                <c:pt idx="240">
                  <c:v>59</c:v>
                </c:pt>
                <c:pt idx="241">
                  <c:v>59</c:v>
                </c:pt>
                <c:pt idx="242">
                  <c:v>59</c:v>
                </c:pt>
                <c:pt idx="243">
                  <c:v>59</c:v>
                </c:pt>
                <c:pt idx="244">
                  <c:v>59</c:v>
                </c:pt>
                <c:pt idx="245">
                  <c:v>59</c:v>
                </c:pt>
                <c:pt idx="246">
                  <c:v>59</c:v>
                </c:pt>
                <c:pt idx="247">
                  <c:v>59</c:v>
                </c:pt>
                <c:pt idx="248">
                  <c:v>59</c:v>
                </c:pt>
                <c:pt idx="249">
                  <c:v>59</c:v>
                </c:pt>
                <c:pt idx="250">
                  <c:v>59</c:v>
                </c:pt>
                <c:pt idx="251">
                  <c:v>59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59</c:v>
                </c:pt>
                <c:pt idx="256">
                  <c:v>59</c:v>
                </c:pt>
                <c:pt idx="257">
                  <c:v>59</c:v>
                </c:pt>
                <c:pt idx="258">
                  <c:v>59</c:v>
                </c:pt>
                <c:pt idx="259">
                  <c:v>59</c:v>
                </c:pt>
                <c:pt idx="260">
                  <c:v>59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59</c:v>
                </c:pt>
                <c:pt idx="290">
                  <c:v>59</c:v>
                </c:pt>
                <c:pt idx="291">
                  <c:v>59</c:v>
                </c:pt>
                <c:pt idx="292">
                  <c:v>59</c:v>
                </c:pt>
                <c:pt idx="293">
                  <c:v>59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59</c:v>
                </c:pt>
                <c:pt idx="298">
                  <c:v>59</c:v>
                </c:pt>
                <c:pt idx="299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EB-4E9D-BE64-4BB2FCE6E95C}"/>
            </c:ext>
          </c:extLst>
        </c:ser>
        <c:ser>
          <c:idx val="1"/>
          <c:order val="1"/>
          <c:tx>
            <c:v>Cumulative Dropped using average</c:v>
          </c:tx>
          <c:spPr>
            <a:ln w="6350"/>
          </c:spPr>
          <c:marker>
            <c:symbol val="none"/>
          </c:marker>
          <c:xVal>
            <c:numRef>
              <c:f>LR_TrainingLiftChart!$AZ$4:$AZ$303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LR_TrainingLiftChart!$BD$4:$BD$303</c:f>
              <c:numCache>
                <c:formatCode>General</c:formatCode>
                <c:ptCount val="300"/>
                <c:pt idx="0">
                  <c:v>0.19666666666666666</c:v>
                </c:pt>
                <c:pt idx="1">
                  <c:v>0.39333333333333331</c:v>
                </c:pt>
                <c:pt idx="2">
                  <c:v>0.59</c:v>
                </c:pt>
                <c:pt idx="3">
                  <c:v>0.78666666666666663</c:v>
                </c:pt>
                <c:pt idx="4">
                  <c:v>0.98333333333333328</c:v>
                </c:pt>
                <c:pt idx="5">
                  <c:v>1.18</c:v>
                </c:pt>
                <c:pt idx="6">
                  <c:v>1.3766666666666665</c:v>
                </c:pt>
                <c:pt idx="7">
                  <c:v>1.5733333333333333</c:v>
                </c:pt>
                <c:pt idx="8">
                  <c:v>1.77</c:v>
                </c:pt>
                <c:pt idx="9">
                  <c:v>1.9666666666666666</c:v>
                </c:pt>
                <c:pt idx="10">
                  <c:v>2.1633333333333331</c:v>
                </c:pt>
                <c:pt idx="11">
                  <c:v>2.36</c:v>
                </c:pt>
                <c:pt idx="12">
                  <c:v>2.5566666666666666</c:v>
                </c:pt>
                <c:pt idx="13">
                  <c:v>2.753333333333333</c:v>
                </c:pt>
                <c:pt idx="14">
                  <c:v>2.9499999999999997</c:v>
                </c:pt>
                <c:pt idx="15">
                  <c:v>3.1466666666666665</c:v>
                </c:pt>
                <c:pt idx="16">
                  <c:v>3.3433333333333333</c:v>
                </c:pt>
                <c:pt idx="17">
                  <c:v>3.54</c:v>
                </c:pt>
                <c:pt idx="18">
                  <c:v>3.7366666666666664</c:v>
                </c:pt>
                <c:pt idx="19">
                  <c:v>3.9333333333333331</c:v>
                </c:pt>
                <c:pt idx="20">
                  <c:v>4.13</c:v>
                </c:pt>
                <c:pt idx="21">
                  <c:v>4.3266666666666662</c:v>
                </c:pt>
                <c:pt idx="22">
                  <c:v>4.5233333333333334</c:v>
                </c:pt>
                <c:pt idx="23">
                  <c:v>4.72</c:v>
                </c:pt>
                <c:pt idx="24">
                  <c:v>4.9166666666666661</c:v>
                </c:pt>
                <c:pt idx="25">
                  <c:v>5.1133333333333333</c:v>
                </c:pt>
                <c:pt idx="26">
                  <c:v>5.31</c:v>
                </c:pt>
                <c:pt idx="27">
                  <c:v>5.5066666666666659</c:v>
                </c:pt>
                <c:pt idx="28">
                  <c:v>5.7033333333333331</c:v>
                </c:pt>
                <c:pt idx="29">
                  <c:v>5.8999999999999995</c:v>
                </c:pt>
                <c:pt idx="30">
                  <c:v>6.0966666666666667</c:v>
                </c:pt>
                <c:pt idx="31">
                  <c:v>6.293333333333333</c:v>
                </c:pt>
                <c:pt idx="32">
                  <c:v>6.4899999999999993</c:v>
                </c:pt>
                <c:pt idx="33">
                  <c:v>6.6866666666666665</c:v>
                </c:pt>
                <c:pt idx="34">
                  <c:v>6.8833333333333329</c:v>
                </c:pt>
                <c:pt idx="35">
                  <c:v>7.08</c:v>
                </c:pt>
                <c:pt idx="36">
                  <c:v>7.2766666666666664</c:v>
                </c:pt>
                <c:pt idx="37">
                  <c:v>7.4733333333333327</c:v>
                </c:pt>
                <c:pt idx="38">
                  <c:v>7.67</c:v>
                </c:pt>
                <c:pt idx="39">
                  <c:v>7.8666666666666663</c:v>
                </c:pt>
                <c:pt idx="40">
                  <c:v>8.0633333333333326</c:v>
                </c:pt>
                <c:pt idx="41">
                  <c:v>8.26</c:v>
                </c:pt>
                <c:pt idx="42">
                  <c:v>8.456666666666667</c:v>
                </c:pt>
                <c:pt idx="43">
                  <c:v>8.6533333333333324</c:v>
                </c:pt>
                <c:pt idx="44">
                  <c:v>8.85</c:v>
                </c:pt>
                <c:pt idx="45">
                  <c:v>9.0466666666666669</c:v>
                </c:pt>
                <c:pt idx="46">
                  <c:v>9.2433333333333323</c:v>
                </c:pt>
                <c:pt idx="47">
                  <c:v>9.44</c:v>
                </c:pt>
                <c:pt idx="48">
                  <c:v>9.6366666666666667</c:v>
                </c:pt>
                <c:pt idx="49">
                  <c:v>9.8333333333333321</c:v>
                </c:pt>
                <c:pt idx="50">
                  <c:v>10.029999999999999</c:v>
                </c:pt>
                <c:pt idx="51">
                  <c:v>10.226666666666667</c:v>
                </c:pt>
                <c:pt idx="52">
                  <c:v>10.423333333333332</c:v>
                </c:pt>
                <c:pt idx="53">
                  <c:v>10.62</c:v>
                </c:pt>
                <c:pt idx="54">
                  <c:v>10.816666666666666</c:v>
                </c:pt>
                <c:pt idx="55">
                  <c:v>11.013333333333332</c:v>
                </c:pt>
                <c:pt idx="56">
                  <c:v>11.209999999999999</c:v>
                </c:pt>
                <c:pt idx="57">
                  <c:v>11.406666666666666</c:v>
                </c:pt>
                <c:pt idx="58">
                  <c:v>11.603333333333333</c:v>
                </c:pt>
                <c:pt idx="59">
                  <c:v>11.799999999999999</c:v>
                </c:pt>
                <c:pt idx="60">
                  <c:v>11.996666666666666</c:v>
                </c:pt>
                <c:pt idx="61">
                  <c:v>12.193333333333333</c:v>
                </c:pt>
                <c:pt idx="62">
                  <c:v>12.389999999999999</c:v>
                </c:pt>
                <c:pt idx="63">
                  <c:v>12.586666666666666</c:v>
                </c:pt>
                <c:pt idx="64">
                  <c:v>12.783333333333333</c:v>
                </c:pt>
                <c:pt idx="65">
                  <c:v>12.979999999999999</c:v>
                </c:pt>
                <c:pt idx="66">
                  <c:v>13.176666666666666</c:v>
                </c:pt>
                <c:pt idx="67">
                  <c:v>13.373333333333333</c:v>
                </c:pt>
                <c:pt idx="68">
                  <c:v>13.569999999999999</c:v>
                </c:pt>
                <c:pt idx="69">
                  <c:v>13.766666666666666</c:v>
                </c:pt>
                <c:pt idx="70">
                  <c:v>13.963333333333333</c:v>
                </c:pt>
                <c:pt idx="71">
                  <c:v>14.16</c:v>
                </c:pt>
                <c:pt idx="72">
                  <c:v>14.356666666666666</c:v>
                </c:pt>
                <c:pt idx="73">
                  <c:v>14.553333333333333</c:v>
                </c:pt>
                <c:pt idx="74">
                  <c:v>14.75</c:v>
                </c:pt>
                <c:pt idx="75">
                  <c:v>14.946666666666665</c:v>
                </c:pt>
                <c:pt idx="76">
                  <c:v>15.143333333333333</c:v>
                </c:pt>
                <c:pt idx="77">
                  <c:v>15.34</c:v>
                </c:pt>
                <c:pt idx="78">
                  <c:v>15.536666666666665</c:v>
                </c:pt>
                <c:pt idx="79">
                  <c:v>15.733333333333333</c:v>
                </c:pt>
                <c:pt idx="80">
                  <c:v>15.93</c:v>
                </c:pt>
                <c:pt idx="81">
                  <c:v>16.126666666666665</c:v>
                </c:pt>
                <c:pt idx="82">
                  <c:v>16.323333333333334</c:v>
                </c:pt>
                <c:pt idx="83">
                  <c:v>16.52</c:v>
                </c:pt>
                <c:pt idx="84">
                  <c:v>16.716666666666665</c:v>
                </c:pt>
                <c:pt idx="85">
                  <c:v>16.913333333333334</c:v>
                </c:pt>
                <c:pt idx="86">
                  <c:v>17.11</c:v>
                </c:pt>
                <c:pt idx="87">
                  <c:v>17.306666666666665</c:v>
                </c:pt>
                <c:pt idx="88">
                  <c:v>17.503333333333334</c:v>
                </c:pt>
                <c:pt idx="89">
                  <c:v>17.7</c:v>
                </c:pt>
                <c:pt idx="90">
                  <c:v>17.896666666666665</c:v>
                </c:pt>
                <c:pt idx="91">
                  <c:v>18.093333333333334</c:v>
                </c:pt>
                <c:pt idx="92">
                  <c:v>18.29</c:v>
                </c:pt>
                <c:pt idx="93">
                  <c:v>18.486666666666665</c:v>
                </c:pt>
                <c:pt idx="94">
                  <c:v>18.683333333333334</c:v>
                </c:pt>
                <c:pt idx="95">
                  <c:v>18.88</c:v>
                </c:pt>
                <c:pt idx="96">
                  <c:v>19.076666666666664</c:v>
                </c:pt>
                <c:pt idx="97">
                  <c:v>19.273333333333333</c:v>
                </c:pt>
                <c:pt idx="98">
                  <c:v>19.47</c:v>
                </c:pt>
                <c:pt idx="99">
                  <c:v>19.666666666666664</c:v>
                </c:pt>
                <c:pt idx="100">
                  <c:v>19.863333333333333</c:v>
                </c:pt>
                <c:pt idx="101">
                  <c:v>20.059999999999999</c:v>
                </c:pt>
                <c:pt idx="102">
                  <c:v>20.256666666666664</c:v>
                </c:pt>
                <c:pt idx="103">
                  <c:v>20.453333333333333</c:v>
                </c:pt>
                <c:pt idx="104">
                  <c:v>20.65</c:v>
                </c:pt>
                <c:pt idx="105">
                  <c:v>20.846666666666664</c:v>
                </c:pt>
                <c:pt idx="106">
                  <c:v>21.043333333333333</c:v>
                </c:pt>
                <c:pt idx="107">
                  <c:v>21.24</c:v>
                </c:pt>
                <c:pt idx="108">
                  <c:v>21.436666666666664</c:v>
                </c:pt>
                <c:pt idx="109">
                  <c:v>21.633333333333333</c:v>
                </c:pt>
                <c:pt idx="110">
                  <c:v>21.83</c:v>
                </c:pt>
                <c:pt idx="111">
                  <c:v>22.026666666666664</c:v>
                </c:pt>
                <c:pt idx="112">
                  <c:v>22.223333333333333</c:v>
                </c:pt>
                <c:pt idx="113">
                  <c:v>22.419999999999998</c:v>
                </c:pt>
                <c:pt idx="114">
                  <c:v>22.616666666666667</c:v>
                </c:pt>
                <c:pt idx="115">
                  <c:v>22.813333333333333</c:v>
                </c:pt>
                <c:pt idx="116">
                  <c:v>23.009999999999998</c:v>
                </c:pt>
                <c:pt idx="117">
                  <c:v>23.206666666666667</c:v>
                </c:pt>
                <c:pt idx="118">
                  <c:v>23.403333333333332</c:v>
                </c:pt>
                <c:pt idx="119">
                  <c:v>23.599999999999998</c:v>
                </c:pt>
                <c:pt idx="120">
                  <c:v>23.796666666666667</c:v>
                </c:pt>
                <c:pt idx="121">
                  <c:v>23.993333333333332</c:v>
                </c:pt>
                <c:pt idx="122">
                  <c:v>24.189999999999998</c:v>
                </c:pt>
                <c:pt idx="123">
                  <c:v>24.386666666666667</c:v>
                </c:pt>
                <c:pt idx="124">
                  <c:v>24.583333333333332</c:v>
                </c:pt>
                <c:pt idx="125">
                  <c:v>24.779999999999998</c:v>
                </c:pt>
                <c:pt idx="126">
                  <c:v>24.976666666666667</c:v>
                </c:pt>
                <c:pt idx="127">
                  <c:v>25.173333333333332</c:v>
                </c:pt>
                <c:pt idx="128">
                  <c:v>25.369999999999997</c:v>
                </c:pt>
                <c:pt idx="129">
                  <c:v>25.566666666666666</c:v>
                </c:pt>
                <c:pt idx="130">
                  <c:v>25.763333333333332</c:v>
                </c:pt>
                <c:pt idx="131">
                  <c:v>25.959999999999997</c:v>
                </c:pt>
                <c:pt idx="132">
                  <c:v>26.156666666666666</c:v>
                </c:pt>
                <c:pt idx="133">
                  <c:v>26.353333333333332</c:v>
                </c:pt>
                <c:pt idx="134">
                  <c:v>26.549999999999997</c:v>
                </c:pt>
                <c:pt idx="135">
                  <c:v>26.746666666666666</c:v>
                </c:pt>
                <c:pt idx="136">
                  <c:v>26.943333333333332</c:v>
                </c:pt>
                <c:pt idx="137">
                  <c:v>27.139999999999997</c:v>
                </c:pt>
                <c:pt idx="138">
                  <c:v>27.336666666666666</c:v>
                </c:pt>
                <c:pt idx="139">
                  <c:v>27.533333333333331</c:v>
                </c:pt>
                <c:pt idx="140">
                  <c:v>27.729999999999997</c:v>
                </c:pt>
                <c:pt idx="141">
                  <c:v>27.926666666666666</c:v>
                </c:pt>
                <c:pt idx="142">
                  <c:v>28.123333333333331</c:v>
                </c:pt>
                <c:pt idx="143">
                  <c:v>28.32</c:v>
                </c:pt>
                <c:pt idx="144">
                  <c:v>28.516666666666666</c:v>
                </c:pt>
                <c:pt idx="145">
                  <c:v>28.713333333333331</c:v>
                </c:pt>
                <c:pt idx="146">
                  <c:v>28.91</c:v>
                </c:pt>
                <c:pt idx="147">
                  <c:v>29.106666666666666</c:v>
                </c:pt>
                <c:pt idx="148">
                  <c:v>29.303333333333331</c:v>
                </c:pt>
                <c:pt idx="149">
                  <c:v>29.5</c:v>
                </c:pt>
                <c:pt idx="150">
                  <c:v>29.696666666666665</c:v>
                </c:pt>
                <c:pt idx="151">
                  <c:v>29.893333333333331</c:v>
                </c:pt>
                <c:pt idx="152">
                  <c:v>30.09</c:v>
                </c:pt>
                <c:pt idx="153">
                  <c:v>30.286666666666665</c:v>
                </c:pt>
                <c:pt idx="154">
                  <c:v>30.483333333333331</c:v>
                </c:pt>
                <c:pt idx="155">
                  <c:v>30.68</c:v>
                </c:pt>
                <c:pt idx="156">
                  <c:v>30.876666666666665</c:v>
                </c:pt>
                <c:pt idx="157">
                  <c:v>31.073333333333331</c:v>
                </c:pt>
                <c:pt idx="158">
                  <c:v>31.27</c:v>
                </c:pt>
                <c:pt idx="159">
                  <c:v>31.466666666666665</c:v>
                </c:pt>
                <c:pt idx="160">
                  <c:v>31.66333333333333</c:v>
                </c:pt>
                <c:pt idx="161">
                  <c:v>31.86</c:v>
                </c:pt>
                <c:pt idx="162">
                  <c:v>32.056666666666665</c:v>
                </c:pt>
                <c:pt idx="163">
                  <c:v>32.25333333333333</c:v>
                </c:pt>
                <c:pt idx="164">
                  <c:v>32.449999999999996</c:v>
                </c:pt>
                <c:pt idx="165">
                  <c:v>32.646666666666668</c:v>
                </c:pt>
                <c:pt idx="166">
                  <c:v>32.843333333333334</c:v>
                </c:pt>
                <c:pt idx="167">
                  <c:v>33.04</c:v>
                </c:pt>
                <c:pt idx="168">
                  <c:v>33.236666666666665</c:v>
                </c:pt>
                <c:pt idx="169">
                  <c:v>33.43333333333333</c:v>
                </c:pt>
                <c:pt idx="170">
                  <c:v>33.629999999999995</c:v>
                </c:pt>
                <c:pt idx="171">
                  <c:v>33.826666666666668</c:v>
                </c:pt>
                <c:pt idx="172">
                  <c:v>34.023333333333333</c:v>
                </c:pt>
                <c:pt idx="173">
                  <c:v>34.22</c:v>
                </c:pt>
                <c:pt idx="174">
                  <c:v>34.416666666666664</c:v>
                </c:pt>
                <c:pt idx="175">
                  <c:v>34.61333333333333</c:v>
                </c:pt>
                <c:pt idx="176">
                  <c:v>34.809999999999995</c:v>
                </c:pt>
                <c:pt idx="177">
                  <c:v>35.006666666666668</c:v>
                </c:pt>
                <c:pt idx="178">
                  <c:v>35.203333333333333</c:v>
                </c:pt>
                <c:pt idx="179">
                  <c:v>35.4</c:v>
                </c:pt>
                <c:pt idx="180">
                  <c:v>35.596666666666664</c:v>
                </c:pt>
                <c:pt idx="181">
                  <c:v>35.793333333333329</c:v>
                </c:pt>
                <c:pt idx="182">
                  <c:v>35.989999999999995</c:v>
                </c:pt>
                <c:pt idx="183">
                  <c:v>36.186666666666667</c:v>
                </c:pt>
                <c:pt idx="184">
                  <c:v>36.383333333333333</c:v>
                </c:pt>
                <c:pt idx="185">
                  <c:v>36.58</c:v>
                </c:pt>
                <c:pt idx="186">
                  <c:v>36.776666666666664</c:v>
                </c:pt>
                <c:pt idx="187">
                  <c:v>36.973333333333329</c:v>
                </c:pt>
                <c:pt idx="188">
                  <c:v>37.169999999999995</c:v>
                </c:pt>
                <c:pt idx="189">
                  <c:v>37.366666666666667</c:v>
                </c:pt>
                <c:pt idx="190">
                  <c:v>37.563333333333333</c:v>
                </c:pt>
                <c:pt idx="191">
                  <c:v>37.76</c:v>
                </c:pt>
                <c:pt idx="192">
                  <c:v>37.956666666666663</c:v>
                </c:pt>
                <c:pt idx="193">
                  <c:v>38.153333333333329</c:v>
                </c:pt>
                <c:pt idx="194">
                  <c:v>38.35</c:v>
                </c:pt>
                <c:pt idx="195">
                  <c:v>38.546666666666667</c:v>
                </c:pt>
                <c:pt idx="196">
                  <c:v>38.743333333333332</c:v>
                </c:pt>
                <c:pt idx="197">
                  <c:v>38.94</c:v>
                </c:pt>
                <c:pt idx="198">
                  <c:v>39.136666666666663</c:v>
                </c:pt>
                <c:pt idx="199">
                  <c:v>39.333333333333329</c:v>
                </c:pt>
                <c:pt idx="200">
                  <c:v>39.53</c:v>
                </c:pt>
                <c:pt idx="201">
                  <c:v>39.726666666666667</c:v>
                </c:pt>
                <c:pt idx="202">
                  <c:v>39.923333333333332</c:v>
                </c:pt>
                <c:pt idx="203">
                  <c:v>40.119999999999997</c:v>
                </c:pt>
                <c:pt idx="204">
                  <c:v>40.316666666666663</c:v>
                </c:pt>
                <c:pt idx="205">
                  <c:v>40.513333333333328</c:v>
                </c:pt>
                <c:pt idx="206">
                  <c:v>40.71</c:v>
                </c:pt>
                <c:pt idx="207">
                  <c:v>40.906666666666666</c:v>
                </c:pt>
                <c:pt idx="208">
                  <c:v>41.103333333333332</c:v>
                </c:pt>
                <c:pt idx="209">
                  <c:v>41.3</c:v>
                </c:pt>
                <c:pt idx="210">
                  <c:v>41.496666666666663</c:v>
                </c:pt>
                <c:pt idx="211">
                  <c:v>41.693333333333328</c:v>
                </c:pt>
                <c:pt idx="212">
                  <c:v>41.89</c:v>
                </c:pt>
                <c:pt idx="213">
                  <c:v>42.086666666666666</c:v>
                </c:pt>
                <c:pt idx="214">
                  <c:v>42.283333333333331</c:v>
                </c:pt>
                <c:pt idx="215">
                  <c:v>42.48</c:v>
                </c:pt>
                <c:pt idx="216">
                  <c:v>42.676666666666662</c:v>
                </c:pt>
                <c:pt idx="217">
                  <c:v>42.873333333333328</c:v>
                </c:pt>
                <c:pt idx="218">
                  <c:v>43.07</c:v>
                </c:pt>
                <c:pt idx="219">
                  <c:v>43.266666666666666</c:v>
                </c:pt>
                <c:pt idx="220">
                  <c:v>43.463333333333331</c:v>
                </c:pt>
                <c:pt idx="221">
                  <c:v>43.66</c:v>
                </c:pt>
                <c:pt idx="222">
                  <c:v>43.856666666666662</c:v>
                </c:pt>
                <c:pt idx="223">
                  <c:v>44.053333333333327</c:v>
                </c:pt>
                <c:pt idx="224">
                  <c:v>44.25</c:v>
                </c:pt>
                <c:pt idx="225">
                  <c:v>44.446666666666665</c:v>
                </c:pt>
                <c:pt idx="226">
                  <c:v>44.643333333333331</c:v>
                </c:pt>
                <c:pt idx="227">
                  <c:v>44.839999999999996</c:v>
                </c:pt>
                <c:pt idx="228">
                  <c:v>45.036666666666662</c:v>
                </c:pt>
                <c:pt idx="229">
                  <c:v>45.233333333333334</c:v>
                </c:pt>
                <c:pt idx="230">
                  <c:v>45.43</c:v>
                </c:pt>
                <c:pt idx="231">
                  <c:v>45.626666666666665</c:v>
                </c:pt>
                <c:pt idx="232">
                  <c:v>45.823333333333331</c:v>
                </c:pt>
                <c:pt idx="233">
                  <c:v>46.019999999999996</c:v>
                </c:pt>
                <c:pt idx="234">
                  <c:v>46.216666666666661</c:v>
                </c:pt>
                <c:pt idx="235">
                  <c:v>46.413333333333334</c:v>
                </c:pt>
                <c:pt idx="236">
                  <c:v>46.61</c:v>
                </c:pt>
                <c:pt idx="237">
                  <c:v>46.806666666666665</c:v>
                </c:pt>
                <c:pt idx="238">
                  <c:v>47.00333333333333</c:v>
                </c:pt>
                <c:pt idx="239">
                  <c:v>47.199999999999996</c:v>
                </c:pt>
                <c:pt idx="240">
                  <c:v>47.396666666666661</c:v>
                </c:pt>
                <c:pt idx="241">
                  <c:v>47.593333333333334</c:v>
                </c:pt>
                <c:pt idx="242">
                  <c:v>47.79</c:v>
                </c:pt>
                <c:pt idx="243">
                  <c:v>47.986666666666665</c:v>
                </c:pt>
                <c:pt idx="244">
                  <c:v>48.18333333333333</c:v>
                </c:pt>
                <c:pt idx="245">
                  <c:v>48.379999999999995</c:v>
                </c:pt>
                <c:pt idx="246">
                  <c:v>48.576666666666661</c:v>
                </c:pt>
                <c:pt idx="247">
                  <c:v>48.773333333333333</c:v>
                </c:pt>
                <c:pt idx="248">
                  <c:v>48.97</c:v>
                </c:pt>
                <c:pt idx="249">
                  <c:v>49.166666666666664</c:v>
                </c:pt>
                <c:pt idx="250">
                  <c:v>49.36333333333333</c:v>
                </c:pt>
                <c:pt idx="251">
                  <c:v>49.559999999999995</c:v>
                </c:pt>
                <c:pt idx="252">
                  <c:v>49.756666666666661</c:v>
                </c:pt>
                <c:pt idx="253">
                  <c:v>49.953333333333333</c:v>
                </c:pt>
                <c:pt idx="254">
                  <c:v>50.15</c:v>
                </c:pt>
                <c:pt idx="255">
                  <c:v>50.346666666666664</c:v>
                </c:pt>
                <c:pt idx="256">
                  <c:v>50.543333333333329</c:v>
                </c:pt>
                <c:pt idx="257">
                  <c:v>50.739999999999995</c:v>
                </c:pt>
                <c:pt idx="258">
                  <c:v>50.936666666666667</c:v>
                </c:pt>
                <c:pt idx="259">
                  <c:v>51.133333333333333</c:v>
                </c:pt>
                <c:pt idx="260">
                  <c:v>51.33</c:v>
                </c:pt>
                <c:pt idx="261">
                  <c:v>51.526666666666664</c:v>
                </c:pt>
                <c:pt idx="262">
                  <c:v>51.723333333333329</c:v>
                </c:pt>
                <c:pt idx="263">
                  <c:v>51.919999999999995</c:v>
                </c:pt>
                <c:pt idx="264">
                  <c:v>52.116666666666667</c:v>
                </c:pt>
                <c:pt idx="265">
                  <c:v>52.313333333333333</c:v>
                </c:pt>
                <c:pt idx="266">
                  <c:v>52.51</c:v>
                </c:pt>
                <c:pt idx="267">
                  <c:v>52.706666666666663</c:v>
                </c:pt>
                <c:pt idx="268">
                  <c:v>52.903333333333329</c:v>
                </c:pt>
                <c:pt idx="269">
                  <c:v>53.099999999999994</c:v>
                </c:pt>
                <c:pt idx="270">
                  <c:v>53.296666666666667</c:v>
                </c:pt>
                <c:pt idx="271">
                  <c:v>53.493333333333332</c:v>
                </c:pt>
                <c:pt idx="272">
                  <c:v>53.69</c:v>
                </c:pt>
                <c:pt idx="273">
                  <c:v>53.886666666666663</c:v>
                </c:pt>
                <c:pt idx="274">
                  <c:v>54.083333333333329</c:v>
                </c:pt>
                <c:pt idx="275">
                  <c:v>54.279999999999994</c:v>
                </c:pt>
                <c:pt idx="276">
                  <c:v>54.476666666666667</c:v>
                </c:pt>
                <c:pt idx="277">
                  <c:v>54.673333333333332</c:v>
                </c:pt>
                <c:pt idx="278">
                  <c:v>54.87</c:v>
                </c:pt>
                <c:pt idx="279">
                  <c:v>55.066666666666663</c:v>
                </c:pt>
                <c:pt idx="280">
                  <c:v>55.263333333333328</c:v>
                </c:pt>
                <c:pt idx="281">
                  <c:v>55.459999999999994</c:v>
                </c:pt>
                <c:pt idx="282">
                  <c:v>55.656666666666666</c:v>
                </c:pt>
                <c:pt idx="283">
                  <c:v>55.853333333333332</c:v>
                </c:pt>
                <c:pt idx="284">
                  <c:v>56.05</c:v>
                </c:pt>
                <c:pt idx="285">
                  <c:v>56.246666666666663</c:v>
                </c:pt>
                <c:pt idx="286">
                  <c:v>56.443333333333328</c:v>
                </c:pt>
                <c:pt idx="287">
                  <c:v>56.64</c:v>
                </c:pt>
                <c:pt idx="288">
                  <c:v>56.836666666666666</c:v>
                </c:pt>
                <c:pt idx="289">
                  <c:v>57.033333333333331</c:v>
                </c:pt>
                <c:pt idx="290">
                  <c:v>57.23</c:v>
                </c:pt>
                <c:pt idx="291">
                  <c:v>57.426666666666662</c:v>
                </c:pt>
                <c:pt idx="292">
                  <c:v>57.623333333333328</c:v>
                </c:pt>
                <c:pt idx="293">
                  <c:v>57.82</c:v>
                </c:pt>
                <c:pt idx="294">
                  <c:v>58.016666666666666</c:v>
                </c:pt>
                <c:pt idx="295">
                  <c:v>58.213333333333331</c:v>
                </c:pt>
                <c:pt idx="296">
                  <c:v>58.41</c:v>
                </c:pt>
                <c:pt idx="297">
                  <c:v>58.606666666666662</c:v>
                </c:pt>
                <c:pt idx="298">
                  <c:v>58.803333333333327</c:v>
                </c:pt>
                <c:pt idx="299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EB-4E9D-BE64-4BB2FCE6E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556912"/>
        <c:axId val="1443546096"/>
      </c:scatterChart>
      <c:valAx>
        <c:axId val="144355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46096"/>
        <c:crosses val="autoZero"/>
        <c:crossBetween val="midCat"/>
      </c:valAx>
      <c:valAx>
        <c:axId val="1443546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56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(training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LR_TrainingLiftChart!$BE$4:$BE$13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LR_TrainingLiftChart!$BF$4:$BF$13</c:f>
              <c:numCache>
                <c:formatCode>General</c:formatCode>
                <c:ptCount val="10"/>
                <c:pt idx="0">
                  <c:v>0.33898305084745767</c:v>
                </c:pt>
                <c:pt idx="1">
                  <c:v>0.33898305084745767</c:v>
                </c:pt>
                <c:pt idx="2">
                  <c:v>1.5254237288135595</c:v>
                </c:pt>
                <c:pt idx="3">
                  <c:v>1.6949152542372883</c:v>
                </c:pt>
                <c:pt idx="4">
                  <c:v>1.8644067796610171</c:v>
                </c:pt>
                <c:pt idx="5">
                  <c:v>1.8644067796610171</c:v>
                </c:pt>
                <c:pt idx="6">
                  <c:v>1.8644067796610171</c:v>
                </c:pt>
                <c:pt idx="7">
                  <c:v>0.50847457627118653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25-4DE5-8C27-D60E94645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3556912"/>
        <c:axId val="1443546512"/>
      </c:barChart>
      <c:catAx>
        <c:axId val="144355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46512"/>
        <c:crosses val="autoZero"/>
        <c:auto val="1"/>
        <c:lblAlgn val="ctr"/>
        <c:lblOffset val="100"/>
        <c:noMultiLvlLbl val="0"/>
      </c:catAx>
      <c:valAx>
        <c:axId val="1443546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56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0.561924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LR_TrainingLiftChart!$BZ$2:$BZ$180</c:f>
              <c:numCache>
                <c:formatCode>General</c:formatCode>
                <c:ptCount val="179"/>
                <c:pt idx="0">
                  <c:v>0</c:v>
                </c:pt>
                <c:pt idx="1">
                  <c:v>8.2987551867219917E-3</c:v>
                </c:pt>
                <c:pt idx="2">
                  <c:v>1.2448132780082987E-2</c:v>
                </c:pt>
                <c:pt idx="3">
                  <c:v>2.4896265560165973E-2</c:v>
                </c:pt>
                <c:pt idx="4">
                  <c:v>3.3195020746887967E-2</c:v>
                </c:pt>
                <c:pt idx="5">
                  <c:v>3.7344398340248962E-2</c:v>
                </c:pt>
                <c:pt idx="6">
                  <c:v>4.5643153526970952E-2</c:v>
                </c:pt>
                <c:pt idx="7">
                  <c:v>5.8091286307053944E-2</c:v>
                </c:pt>
                <c:pt idx="8">
                  <c:v>7.0539419087136929E-2</c:v>
                </c:pt>
                <c:pt idx="9">
                  <c:v>7.4688796680497924E-2</c:v>
                </c:pt>
                <c:pt idx="10">
                  <c:v>8.7136929460580909E-2</c:v>
                </c:pt>
                <c:pt idx="11">
                  <c:v>9.1286307053941904E-2</c:v>
                </c:pt>
                <c:pt idx="12">
                  <c:v>9.1286307053941904E-2</c:v>
                </c:pt>
                <c:pt idx="13">
                  <c:v>0.1037344398340249</c:v>
                </c:pt>
                <c:pt idx="14">
                  <c:v>0.1078838174273859</c:v>
                </c:pt>
                <c:pt idx="15">
                  <c:v>0.11618257261410789</c:v>
                </c:pt>
                <c:pt idx="16">
                  <c:v>0.12033195020746888</c:v>
                </c:pt>
                <c:pt idx="17">
                  <c:v>0.12448132780082988</c:v>
                </c:pt>
                <c:pt idx="18">
                  <c:v>0.13278008298755187</c:v>
                </c:pt>
                <c:pt idx="19">
                  <c:v>0.14107883817427386</c:v>
                </c:pt>
                <c:pt idx="20">
                  <c:v>0.14522821576763487</c:v>
                </c:pt>
                <c:pt idx="21">
                  <c:v>0.15352697095435686</c:v>
                </c:pt>
                <c:pt idx="22">
                  <c:v>0.15767634854771784</c:v>
                </c:pt>
                <c:pt idx="23">
                  <c:v>0.16182572614107885</c:v>
                </c:pt>
                <c:pt idx="24">
                  <c:v>0.17012448132780084</c:v>
                </c:pt>
                <c:pt idx="25">
                  <c:v>0.17842323651452283</c:v>
                </c:pt>
                <c:pt idx="26">
                  <c:v>0.19502074688796681</c:v>
                </c:pt>
                <c:pt idx="27">
                  <c:v>0.19917012448132779</c:v>
                </c:pt>
                <c:pt idx="28">
                  <c:v>0.2033195020746888</c:v>
                </c:pt>
                <c:pt idx="29">
                  <c:v>0.21991701244813278</c:v>
                </c:pt>
                <c:pt idx="30">
                  <c:v>0.23236514522821577</c:v>
                </c:pt>
                <c:pt idx="31">
                  <c:v>0.24066390041493776</c:v>
                </c:pt>
                <c:pt idx="32">
                  <c:v>0.24481327800829875</c:v>
                </c:pt>
                <c:pt idx="33">
                  <c:v>0.24896265560165975</c:v>
                </c:pt>
                <c:pt idx="34">
                  <c:v>0.25311203319502074</c:v>
                </c:pt>
                <c:pt idx="35">
                  <c:v>0.26141078838174275</c:v>
                </c:pt>
                <c:pt idx="36">
                  <c:v>0.26141078838174275</c:v>
                </c:pt>
                <c:pt idx="37">
                  <c:v>0.26141078838174275</c:v>
                </c:pt>
                <c:pt idx="38">
                  <c:v>0.26556016597510373</c:v>
                </c:pt>
                <c:pt idx="39">
                  <c:v>0.26970954356846472</c:v>
                </c:pt>
                <c:pt idx="40">
                  <c:v>0.28215767634854771</c:v>
                </c:pt>
                <c:pt idx="41">
                  <c:v>0.28215767634854771</c:v>
                </c:pt>
                <c:pt idx="42">
                  <c:v>0.2863070539419087</c:v>
                </c:pt>
                <c:pt idx="43">
                  <c:v>0.29460580912863071</c:v>
                </c:pt>
                <c:pt idx="44">
                  <c:v>0.29875518672199169</c:v>
                </c:pt>
                <c:pt idx="45">
                  <c:v>0.30290456431535268</c:v>
                </c:pt>
                <c:pt idx="46">
                  <c:v>0.30705394190871371</c:v>
                </c:pt>
                <c:pt idx="47">
                  <c:v>0.31120331950207469</c:v>
                </c:pt>
                <c:pt idx="48">
                  <c:v>0.31120331950207469</c:v>
                </c:pt>
                <c:pt idx="49">
                  <c:v>0.32365145228215769</c:v>
                </c:pt>
                <c:pt idx="50">
                  <c:v>0.34024896265560167</c:v>
                </c:pt>
                <c:pt idx="51">
                  <c:v>0.34854771784232363</c:v>
                </c:pt>
                <c:pt idx="52">
                  <c:v>0.34854771784232363</c:v>
                </c:pt>
                <c:pt idx="53">
                  <c:v>0.35684647302904565</c:v>
                </c:pt>
                <c:pt idx="54">
                  <c:v>0.36099585062240663</c:v>
                </c:pt>
                <c:pt idx="55">
                  <c:v>0.37344398340248963</c:v>
                </c:pt>
                <c:pt idx="56">
                  <c:v>0.38174273858921159</c:v>
                </c:pt>
                <c:pt idx="57">
                  <c:v>0.38174273858921159</c:v>
                </c:pt>
                <c:pt idx="58">
                  <c:v>0.38174273858921159</c:v>
                </c:pt>
                <c:pt idx="59">
                  <c:v>0.38589211618257263</c:v>
                </c:pt>
                <c:pt idx="60">
                  <c:v>0.39004149377593361</c:v>
                </c:pt>
                <c:pt idx="61">
                  <c:v>0.39004149377593361</c:v>
                </c:pt>
                <c:pt idx="62">
                  <c:v>0.39419087136929459</c:v>
                </c:pt>
                <c:pt idx="63">
                  <c:v>0.40248962655601661</c:v>
                </c:pt>
                <c:pt idx="64">
                  <c:v>0.40248962655601661</c:v>
                </c:pt>
                <c:pt idx="65">
                  <c:v>0.40663900414937759</c:v>
                </c:pt>
                <c:pt idx="66">
                  <c:v>0.41078838174273857</c:v>
                </c:pt>
                <c:pt idx="67">
                  <c:v>0.41493775933609961</c:v>
                </c:pt>
                <c:pt idx="68">
                  <c:v>0.41493775933609961</c:v>
                </c:pt>
                <c:pt idx="69">
                  <c:v>0.41908713692946059</c:v>
                </c:pt>
                <c:pt idx="70">
                  <c:v>0.42738589211618255</c:v>
                </c:pt>
                <c:pt idx="71">
                  <c:v>0.43983402489626555</c:v>
                </c:pt>
                <c:pt idx="72">
                  <c:v>0.44398340248962653</c:v>
                </c:pt>
                <c:pt idx="73">
                  <c:v>0.44398340248962653</c:v>
                </c:pt>
                <c:pt idx="74">
                  <c:v>0.45228215767634855</c:v>
                </c:pt>
                <c:pt idx="75">
                  <c:v>0.46058091286307051</c:v>
                </c:pt>
                <c:pt idx="76">
                  <c:v>0.47302904564315351</c:v>
                </c:pt>
                <c:pt idx="77">
                  <c:v>0.47302904564315351</c:v>
                </c:pt>
                <c:pt idx="78">
                  <c:v>0.47302904564315351</c:v>
                </c:pt>
                <c:pt idx="79">
                  <c:v>0.48132780082987553</c:v>
                </c:pt>
                <c:pt idx="80">
                  <c:v>0.48132780082987553</c:v>
                </c:pt>
                <c:pt idx="81">
                  <c:v>0.48132780082987553</c:v>
                </c:pt>
                <c:pt idx="82">
                  <c:v>0.48962655601659749</c:v>
                </c:pt>
                <c:pt idx="83">
                  <c:v>0.48962655601659749</c:v>
                </c:pt>
                <c:pt idx="84">
                  <c:v>0.49377593360995853</c:v>
                </c:pt>
                <c:pt idx="85">
                  <c:v>0.49792531120331951</c:v>
                </c:pt>
                <c:pt idx="86">
                  <c:v>0.49792531120331951</c:v>
                </c:pt>
                <c:pt idx="87">
                  <c:v>0.50622406639004147</c:v>
                </c:pt>
                <c:pt idx="88">
                  <c:v>0.51867219917012453</c:v>
                </c:pt>
                <c:pt idx="89">
                  <c:v>0.52282157676348551</c:v>
                </c:pt>
                <c:pt idx="90">
                  <c:v>0.52697095435684649</c:v>
                </c:pt>
                <c:pt idx="91">
                  <c:v>0.53941908713692943</c:v>
                </c:pt>
                <c:pt idx="92">
                  <c:v>0.53941908713692943</c:v>
                </c:pt>
                <c:pt idx="93">
                  <c:v>0.54356846473029041</c:v>
                </c:pt>
                <c:pt idx="94">
                  <c:v>0.54356846473029041</c:v>
                </c:pt>
                <c:pt idx="95">
                  <c:v>0.55186721991701249</c:v>
                </c:pt>
                <c:pt idx="96">
                  <c:v>0.55601659751037347</c:v>
                </c:pt>
                <c:pt idx="97">
                  <c:v>0.55601659751037347</c:v>
                </c:pt>
                <c:pt idx="98">
                  <c:v>0.55601659751037347</c:v>
                </c:pt>
                <c:pt idx="99">
                  <c:v>0.55601659751037347</c:v>
                </c:pt>
                <c:pt idx="100">
                  <c:v>0.56016597510373445</c:v>
                </c:pt>
                <c:pt idx="101">
                  <c:v>0.56016597510373445</c:v>
                </c:pt>
                <c:pt idx="102">
                  <c:v>0.56431535269709543</c:v>
                </c:pt>
                <c:pt idx="103">
                  <c:v>0.57261410788381739</c:v>
                </c:pt>
                <c:pt idx="104">
                  <c:v>0.57676348547717837</c:v>
                </c:pt>
                <c:pt idx="105">
                  <c:v>0.57676348547717837</c:v>
                </c:pt>
                <c:pt idx="106">
                  <c:v>0.57676348547717837</c:v>
                </c:pt>
                <c:pt idx="107">
                  <c:v>0.57676348547717837</c:v>
                </c:pt>
                <c:pt idx="108">
                  <c:v>0.57676348547717837</c:v>
                </c:pt>
                <c:pt idx="109">
                  <c:v>0.58091286307053946</c:v>
                </c:pt>
                <c:pt idx="110">
                  <c:v>0.58506224066390045</c:v>
                </c:pt>
                <c:pt idx="111">
                  <c:v>0.58921161825726143</c:v>
                </c:pt>
                <c:pt idx="112">
                  <c:v>0.59336099585062241</c:v>
                </c:pt>
                <c:pt idx="113">
                  <c:v>0.59751037344398339</c:v>
                </c:pt>
                <c:pt idx="114">
                  <c:v>0.60580912863070535</c:v>
                </c:pt>
                <c:pt idx="115">
                  <c:v>0.61825726141078841</c:v>
                </c:pt>
                <c:pt idx="116">
                  <c:v>0.61825726141078841</c:v>
                </c:pt>
                <c:pt idx="117">
                  <c:v>0.62240663900414939</c:v>
                </c:pt>
                <c:pt idx="118">
                  <c:v>0.63070539419087135</c:v>
                </c:pt>
                <c:pt idx="119">
                  <c:v>0.63485477178423233</c:v>
                </c:pt>
                <c:pt idx="120">
                  <c:v>0.6431535269709544</c:v>
                </c:pt>
                <c:pt idx="121">
                  <c:v>0.64730290456431538</c:v>
                </c:pt>
                <c:pt idx="122">
                  <c:v>0.65560165975103735</c:v>
                </c:pt>
                <c:pt idx="123">
                  <c:v>0.65975103734439833</c:v>
                </c:pt>
                <c:pt idx="124">
                  <c:v>0.66390041493775931</c:v>
                </c:pt>
                <c:pt idx="125">
                  <c:v>0.68049792531120334</c:v>
                </c:pt>
                <c:pt idx="126">
                  <c:v>0.70539419087136934</c:v>
                </c:pt>
                <c:pt idx="127">
                  <c:v>0.70954356846473032</c:v>
                </c:pt>
                <c:pt idx="128">
                  <c:v>0.71784232365145229</c:v>
                </c:pt>
                <c:pt idx="129">
                  <c:v>0.71784232365145229</c:v>
                </c:pt>
                <c:pt idx="130">
                  <c:v>0.72614107883817425</c:v>
                </c:pt>
                <c:pt idx="131">
                  <c:v>0.73029045643153523</c:v>
                </c:pt>
                <c:pt idx="132">
                  <c:v>0.73443983402489632</c:v>
                </c:pt>
                <c:pt idx="133">
                  <c:v>0.7385892116182573</c:v>
                </c:pt>
                <c:pt idx="134">
                  <c:v>0.74273858921161828</c:v>
                </c:pt>
                <c:pt idx="135">
                  <c:v>0.74688796680497926</c:v>
                </c:pt>
                <c:pt idx="136">
                  <c:v>0.75933609958506221</c:v>
                </c:pt>
                <c:pt idx="137">
                  <c:v>0.76348547717842319</c:v>
                </c:pt>
                <c:pt idx="138">
                  <c:v>0.77178423236514526</c:v>
                </c:pt>
                <c:pt idx="139">
                  <c:v>0.77593360995850624</c:v>
                </c:pt>
                <c:pt idx="140">
                  <c:v>0.78008298755186722</c:v>
                </c:pt>
                <c:pt idx="141">
                  <c:v>0.78423236514522821</c:v>
                </c:pt>
                <c:pt idx="142">
                  <c:v>0.78838174273858919</c:v>
                </c:pt>
                <c:pt idx="143">
                  <c:v>0.79253112033195017</c:v>
                </c:pt>
                <c:pt idx="144">
                  <c:v>0.79668049792531115</c:v>
                </c:pt>
                <c:pt idx="145">
                  <c:v>0.80497925311203322</c:v>
                </c:pt>
                <c:pt idx="146">
                  <c:v>0.8091286307053942</c:v>
                </c:pt>
                <c:pt idx="147">
                  <c:v>0.81327800829875518</c:v>
                </c:pt>
                <c:pt idx="148">
                  <c:v>0.81742738589211617</c:v>
                </c:pt>
                <c:pt idx="149">
                  <c:v>0.82572614107883813</c:v>
                </c:pt>
                <c:pt idx="150">
                  <c:v>0.82987551867219922</c:v>
                </c:pt>
                <c:pt idx="151">
                  <c:v>0.8340248962655602</c:v>
                </c:pt>
                <c:pt idx="152">
                  <c:v>0.83817427385892118</c:v>
                </c:pt>
                <c:pt idx="153">
                  <c:v>0.84647302904564314</c:v>
                </c:pt>
                <c:pt idx="154">
                  <c:v>0.85477178423236511</c:v>
                </c:pt>
                <c:pt idx="155">
                  <c:v>0.87136929460580914</c:v>
                </c:pt>
                <c:pt idx="156">
                  <c:v>0.8796680497925311</c:v>
                </c:pt>
                <c:pt idx="157">
                  <c:v>0.88796680497925307</c:v>
                </c:pt>
                <c:pt idx="158">
                  <c:v>0.89211618257261416</c:v>
                </c:pt>
                <c:pt idx="159">
                  <c:v>0.90041493775933612</c:v>
                </c:pt>
                <c:pt idx="160">
                  <c:v>0.9045643153526971</c:v>
                </c:pt>
                <c:pt idx="161">
                  <c:v>0.90871369294605808</c:v>
                </c:pt>
                <c:pt idx="162">
                  <c:v>0.91286307053941906</c:v>
                </c:pt>
                <c:pt idx="163">
                  <c:v>0.91701244813278004</c:v>
                </c:pt>
                <c:pt idx="164">
                  <c:v>0.92116182572614103</c:v>
                </c:pt>
                <c:pt idx="165">
                  <c:v>0.92531120331950212</c:v>
                </c:pt>
                <c:pt idx="166">
                  <c:v>0.93775933609958506</c:v>
                </c:pt>
                <c:pt idx="167">
                  <c:v>0.94190871369294604</c:v>
                </c:pt>
                <c:pt idx="168">
                  <c:v>0.950207468879668</c:v>
                </c:pt>
                <c:pt idx="169">
                  <c:v>0.9543568464730291</c:v>
                </c:pt>
                <c:pt idx="170">
                  <c:v>0.95850622406639008</c:v>
                </c:pt>
                <c:pt idx="171">
                  <c:v>0.96265560165975106</c:v>
                </c:pt>
                <c:pt idx="172">
                  <c:v>0.975103734439834</c:v>
                </c:pt>
                <c:pt idx="173">
                  <c:v>0.97925311203319498</c:v>
                </c:pt>
                <c:pt idx="174">
                  <c:v>0.98340248962655596</c:v>
                </c:pt>
                <c:pt idx="175">
                  <c:v>0.98755186721991706</c:v>
                </c:pt>
                <c:pt idx="176">
                  <c:v>0.99170124481327804</c:v>
                </c:pt>
                <c:pt idx="177">
                  <c:v>0.99585062240663902</c:v>
                </c:pt>
                <c:pt idx="178">
                  <c:v>1</c:v>
                </c:pt>
              </c:numCache>
            </c:numRef>
          </c:xVal>
          <c:yVal>
            <c:numRef>
              <c:f>LR_TrainingLiftChart!$CA$2:$CA$180</c:f>
              <c:numCache>
                <c:formatCode>General</c:formatCode>
                <c:ptCount val="1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1.6949152542372881E-2</c:v>
                </c:pt>
                <c:pt idx="5">
                  <c:v>1.6949152542372881E-2</c:v>
                </c:pt>
                <c:pt idx="6">
                  <c:v>1.6949152542372881E-2</c:v>
                </c:pt>
                <c:pt idx="7">
                  <c:v>1.6949152542372881E-2</c:v>
                </c:pt>
                <c:pt idx="8">
                  <c:v>1.6949152542372881E-2</c:v>
                </c:pt>
                <c:pt idx="9">
                  <c:v>1.6949152542372881E-2</c:v>
                </c:pt>
                <c:pt idx="10">
                  <c:v>1.6949152542372881E-2</c:v>
                </c:pt>
                <c:pt idx="11">
                  <c:v>1.6949152542372881E-2</c:v>
                </c:pt>
                <c:pt idx="12">
                  <c:v>3.3898305084745763E-2</c:v>
                </c:pt>
                <c:pt idx="13">
                  <c:v>3.3898305084745763E-2</c:v>
                </c:pt>
                <c:pt idx="14">
                  <c:v>3.3898305084745763E-2</c:v>
                </c:pt>
                <c:pt idx="15">
                  <c:v>3.3898305084745763E-2</c:v>
                </c:pt>
                <c:pt idx="16">
                  <c:v>3.3898305084745763E-2</c:v>
                </c:pt>
                <c:pt idx="17">
                  <c:v>3.3898305084745763E-2</c:v>
                </c:pt>
                <c:pt idx="18">
                  <c:v>3.3898305084745763E-2</c:v>
                </c:pt>
                <c:pt idx="19">
                  <c:v>3.3898305084745763E-2</c:v>
                </c:pt>
                <c:pt idx="20">
                  <c:v>3.3898305084745763E-2</c:v>
                </c:pt>
                <c:pt idx="21">
                  <c:v>5.0847457627118647E-2</c:v>
                </c:pt>
                <c:pt idx="22">
                  <c:v>5.0847457627118647E-2</c:v>
                </c:pt>
                <c:pt idx="23">
                  <c:v>5.0847457627118647E-2</c:v>
                </c:pt>
                <c:pt idx="24">
                  <c:v>5.0847457627118647E-2</c:v>
                </c:pt>
                <c:pt idx="25">
                  <c:v>5.0847457627118647E-2</c:v>
                </c:pt>
                <c:pt idx="26">
                  <c:v>5.0847457627118647E-2</c:v>
                </c:pt>
                <c:pt idx="27">
                  <c:v>6.7796610169491525E-2</c:v>
                </c:pt>
                <c:pt idx="28">
                  <c:v>6.7796610169491525E-2</c:v>
                </c:pt>
                <c:pt idx="29">
                  <c:v>6.7796610169491525E-2</c:v>
                </c:pt>
                <c:pt idx="30">
                  <c:v>6.7796610169491525E-2</c:v>
                </c:pt>
                <c:pt idx="31">
                  <c:v>6.7796610169491525E-2</c:v>
                </c:pt>
                <c:pt idx="32">
                  <c:v>8.4745762711864403E-2</c:v>
                </c:pt>
                <c:pt idx="33">
                  <c:v>0.10169491525423729</c:v>
                </c:pt>
                <c:pt idx="34">
                  <c:v>0.10169491525423729</c:v>
                </c:pt>
                <c:pt idx="35">
                  <c:v>0.10169491525423729</c:v>
                </c:pt>
                <c:pt idx="36">
                  <c:v>0.11864406779661017</c:v>
                </c:pt>
                <c:pt idx="37">
                  <c:v>0.13559322033898305</c:v>
                </c:pt>
                <c:pt idx="38">
                  <c:v>0.13559322033898305</c:v>
                </c:pt>
                <c:pt idx="39">
                  <c:v>0.13559322033898305</c:v>
                </c:pt>
                <c:pt idx="40">
                  <c:v>0.13559322033898305</c:v>
                </c:pt>
                <c:pt idx="41">
                  <c:v>0.15254237288135594</c:v>
                </c:pt>
                <c:pt idx="42">
                  <c:v>0.15254237288135594</c:v>
                </c:pt>
                <c:pt idx="43">
                  <c:v>0.15254237288135594</c:v>
                </c:pt>
                <c:pt idx="44">
                  <c:v>0.15254237288135594</c:v>
                </c:pt>
                <c:pt idx="45">
                  <c:v>0.15254237288135594</c:v>
                </c:pt>
                <c:pt idx="46">
                  <c:v>0.15254237288135594</c:v>
                </c:pt>
                <c:pt idx="47">
                  <c:v>0.1864406779661017</c:v>
                </c:pt>
                <c:pt idx="48">
                  <c:v>0.20338983050847459</c:v>
                </c:pt>
                <c:pt idx="49">
                  <c:v>0.23728813559322035</c:v>
                </c:pt>
                <c:pt idx="50">
                  <c:v>0.23728813559322035</c:v>
                </c:pt>
                <c:pt idx="51">
                  <c:v>0.23728813559322035</c:v>
                </c:pt>
                <c:pt idx="52">
                  <c:v>0.25423728813559321</c:v>
                </c:pt>
                <c:pt idx="53">
                  <c:v>0.25423728813559321</c:v>
                </c:pt>
                <c:pt idx="54">
                  <c:v>0.25423728813559321</c:v>
                </c:pt>
                <c:pt idx="55">
                  <c:v>0.25423728813559321</c:v>
                </c:pt>
                <c:pt idx="56">
                  <c:v>0.28813559322033899</c:v>
                </c:pt>
                <c:pt idx="57">
                  <c:v>0.30508474576271188</c:v>
                </c:pt>
                <c:pt idx="58">
                  <c:v>0.33898305084745761</c:v>
                </c:pt>
                <c:pt idx="59">
                  <c:v>0.33898305084745761</c:v>
                </c:pt>
                <c:pt idx="60">
                  <c:v>0.33898305084745761</c:v>
                </c:pt>
                <c:pt idx="61">
                  <c:v>0.3728813559322034</c:v>
                </c:pt>
                <c:pt idx="62">
                  <c:v>0.3728813559322034</c:v>
                </c:pt>
                <c:pt idx="63">
                  <c:v>0.40677966101694918</c:v>
                </c:pt>
                <c:pt idx="64">
                  <c:v>0.42372881355932202</c:v>
                </c:pt>
                <c:pt idx="65">
                  <c:v>0.42372881355932202</c:v>
                </c:pt>
                <c:pt idx="66">
                  <c:v>0.42372881355932202</c:v>
                </c:pt>
                <c:pt idx="67">
                  <c:v>0.42372881355932202</c:v>
                </c:pt>
                <c:pt idx="68">
                  <c:v>0.44067796610169491</c:v>
                </c:pt>
                <c:pt idx="69">
                  <c:v>0.4576271186440678</c:v>
                </c:pt>
                <c:pt idx="70">
                  <c:v>0.4576271186440678</c:v>
                </c:pt>
                <c:pt idx="71">
                  <c:v>0.4576271186440678</c:v>
                </c:pt>
                <c:pt idx="72">
                  <c:v>0.47457627118644069</c:v>
                </c:pt>
                <c:pt idx="73">
                  <c:v>0.49152542372881358</c:v>
                </c:pt>
                <c:pt idx="74">
                  <c:v>0.52542372881355937</c:v>
                </c:pt>
                <c:pt idx="75">
                  <c:v>0.52542372881355937</c:v>
                </c:pt>
                <c:pt idx="76">
                  <c:v>0.5423728813559322</c:v>
                </c:pt>
                <c:pt idx="77">
                  <c:v>0.55932203389830504</c:v>
                </c:pt>
                <c:pt idx="78">
                  <c:v>0.57627118644067798</c:v>
                </c:pt>
                <c:pt idx="79">
                  <c:v>0.57627118644067798</c:v>
                </c:pt>
                <c:pt idx="80">
                  <c:v>0.59322033898305082</c:v>
                </c:pt>
                <c:pt idx="81">
                  <c:v>0.61016949152542377</c:v>
                </c:pt>
                <c:pt idx="82">
                  <c:v>0.61016949152542377</c:v>
                </c:pt>
                <c:pt idx="83">
                  <c:v>0.6271186440677966</c:v>
                </c:pt>
                <c:pt idx="84">
                  <c:v>0.6271186440677966</c:v>
                </c:pt>
                <c:pt idx="85">
                  <c:v>0.6271186440677966</c:v>
                </c:pt>
                <c:pt idx="86">
                  <c:v>0.64406779661016944</c:v>
                </c:pt>
                <c:pt idx="87">
                  <c:v>0.64406779661016944</c:v>
                </c:pt>
                <c:pt idx="88">
                  <c:v>0.66101694915254239</c:v>
                </c:pt>
                <c:pt idx="89">
                  <c:v>0.66101694915254239</c:v>
                </c:pt>
                <c:pt idx="90">
                  <c:v>0.66101694915254239</c:v>
                </c:pt>
                <c:pt idx="91">
                  <c:v>0.66101694915254239</c:v>
                </c:pt>
                <c:pt idx="92">
                  <c:v>0.67796610169491522</c:v>
                </c:pt>
                <c:pt idx="93">
                  <c:v>0.67796610169491522</c:v>
                </c:pt>
                <c:pt idx="94">
                  <c:v>0.69491525423728817</c:v>
                </c:pt>
                <c:pt idx="95">
                  <c:v>0.69491525423728817</c:v>
                </c:pt>
                <c:pt idx="96">
                  <c:v>0.69491525423728817</c:v>
                </c:pt>
                <c:pt idx="97">
                  <c:v>0.71186440677966101</c:v>
                </c:pt>
                <c:pt idx="98">
                  <c:v>0.72881355932203384</c:v>
                </c:pt>
                <c:pt idx="99">
                  <c:v>0.76271186440677963</c:v>
                </c:pt>
                <c:pt idx="100">
                  <c:v>0.76271186440677963</c:v>
                </c:pt>
                <c:pt idx="101">
                  <c:v>0.83050847457627119</c:v>
                </c:pt>
                <c:pt idx="102">
                  <c:v>0.83050847457627119</c:v>
                </c:pt>
                <c:pt idx="103">
                  <c:v>0.84745762711864403</c:v>
                </c:pt>
                <c:pt idx="104">
                  <c:v>0.84745762711864403</c:v>
                </c:pt>
                <c:pt idx="105">
                  <c:v>0.86440677966101698</c:v>
                </c:pt>
                <c:pt idx="106">
                  <c:v>0.88135593220338981</c:v>
                </c:pt>
                <c:pt idx="107">
                  <c:v>0.89830508474576276</c:v>
                </c:pt>
                <c:pt idx="108">
                  <c:v>0.9152542372881356</c:v>
                </c:pt>
                <c:pt idx="109">
                  <c:v>0.9152542372881356</c:v>
                </c:pt>
                <c:pt idx="110">
                  <c:v>0.9152542372881356</c:v>
                </c:pt>
                <c:pt idx="111">
                  <c:v>0.9152542372881356</c:v>
                </c:pt>
                <c:pt idx="112">
                  <c:v>0.9152542372881356</c:v>
                </c:pt>
                <c:pt idx="113">
                  <c:v>0.9152542372881356</c:v>
                </c:pt>
                <c:pt idx="114">
                  <c:v>0.9152542372881356</c:v>
                </c:pt>
                <c:pt idx="115">
                  <c:v>0.9152542372881356</c:v>
                </c:pt>
                <c:pt idx="116">
                  <c:v>0.93220338983050843</c:v>
                </c:pt>
                <c:pt idx="117">
                  <c:v>0.93220338983050843</c:v>
                </c:pt>
                <c:pt idx="118">
                  <c:v>0.93220338983050843</c:v>
                </c:pt>
                <c:pt idx="119">
                  <c:v>0.94915254237288138</c:v>
                </c:pt>
                <c:pt idx="120">
                  <c:v>0.94915254237288138</c:v>
                </c:pt>
                <c:pt idx="121">
                  <c:v>0.94915254237288138</c:v>
                </c:pt>
                <c:pt idx="122">
                  <c:v>0.94915254237288138</c:v>
                </c:pt>
                <c:pt idx="123">
                  <c:v>0.96610169491525422</c:v>
                </c:pt>
                <c:pt idx="124">
                  <c:v>0.96610169491525422</c:v>
                </c:pt>
                <c:pt idx="125">
                  <c:v>0.96610169491525422</c:v>
                </c:pt>
                <c:pt idx="126">
                  <c:v>0.96610169491525422</c:v>
                </c:pt>
                <c:pt idx="127">
                  <c:v>0.96610169491525422</c:v>
                </c:pt>
                <c:pt idx="128">
                  <c:v>0.96610169491525422</c:v>
                </c:pt>
                <c:pt idx="129">
                  <c:v>0.98305084745762716</c:v>
                </c:pt>
                <c:pt idx="130">
                  <c:v>0.98305084745762716</c:v>
                </c:pt>
                <c:pt idx="131">
                  <c:v>0.98305084745762716</c:v>
                </c:pt>
                <c:pt idx="132">
                  <c:v>0.98305084745762716</c:v>
                </c:pt>
                <c:pt idx="133">
                  <c:v>0.98305084745762716</c:v>
                </c:pt>
                <c:pt idx="134">
                  <c:v>0.98305084745762716</c:v>
                </c:pt>
                <c:pt idx="135">
                  <c:v>0.98305084745762716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46-4E2E-8899-E96FAE1F6158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LR_TrainingLiftChart!$BZ$2:$BZ$180</c:f>
              <c:numCache>
                <c:formatCode>General</c:formatCode>
                <c:ptCount val="179"/>
                <c:pt idx="0">
                  <c:v>0</c:v>
                </c:pt>
                <c:pt idx="1">
                  <c:v>8.2987551867219917E-3</c:v>
                </c:pt>
                <c:pt idx="2">
                  <c:v>1.2448132780082987E-2</c:v>
                </c:pt>
                <c:pt idx="3">
                  <c:v>2.4896265560165973E-2</c:v>
                </c:pt>
                <c:pt idx="4">
                  <c:v>3.3195020746887967E-2</c:v>
                </c:pt>
                <c:pt idx="5">
                  <c:v>3.7344398340248962E-2</c:v>
                </c:pt>
                <c:pt idx="6">
                  <c:v>4.5643153526970952E-2</c:v>
                </c:pt>
                <c:pt idx="7">
                  <c:v>5.8091286307053944E-2</c:v>
                </c:pt>
                <c:pt idx="8">
                  <c:v>7.0539419087136929E-2</c:v>
                </c:pt>
                <c:pt idx="9">
                  <c:v>7.4688796680497924E-2</c:v>
                </c:pt>
                <c:pt idx="10">
                  <c:v>8.7136929460580909E-2</c:v>
                </c:pt>
                <c:pt idx="11">
                  <c:v>9.1286307053941904E-2</c:v>
                </c:pt>
                <c:pt idx="12">
                  <c:v>9.1286307053941904E-2</c:v>
                </c:pt>
                <c:pt idx="13">
                  <c:v>0.1037344398340249</c:v>
                </c:pt>
                <c:pt idx="14">
                  <c:v>0.1078838174273859</c:v>
                </c:pt>
                <c:pt idx="15">
                  <c:v>0.11618257261410789</c:v>
                </c:pt>
                <c:pt idx="16">
                  <c:v>0.12033195020746888</c:v>
                </c:pt>
                <c:pt idx="17">
                  <c:v>0.12448132780082988</c:v>
                </c:pt>
                <c:pt idx="18">
                  <c:v>0.13278008298755187</c:v>
                </c:pt>
                <c:pt idx="19">
                  <c:v>0.14107883817427386</c:v>
                </c:pt>
                <c:pt idx="20">
                  <c:v>0.14522821576763487</c:v>
                </c:pt>
                <c:pt idx="21">
                  <c:v>0.15352697095435686</c:v>
                </c:pt>
                <c:pt idx="22">
                  <c:v>0.15767634854771784</c:v>
                </c:pt>
                <c:pt idx="23">
                  <c:v>0.16182572614107885</c:v>
                </c:pt>
                <c:pt idx="24">
                  <c:v>0.17012448132780084</c:v>
                </c:pt>
                <c:pt idx="25">
                  <c:v>0.17842323651452283</c:v>
                </c:pt>
                <c:pt idx="26">
                  <c:v>0.19502074688796681</c:v>
                </c:pt>
                <c:pt idx="27">
                  <c:v>0.19917012448132779</c:v>
                </c:pt>
                <c:pt idx="28">
                  <c:v>0.2033195020746888</c:v>
                </c:pt>
                <c:pt idx="29">
                  <c:v>0.21991701244813278</c:v>
                </c:pt>
                <c:pt idx="30">
                  <c:v>0.23236514522821577</c:v>
                </c:pt>
                <c:pt idx="31">
                  <c:v>0.24066390041493776</c:v>
                </c:pt>
                <c:pt idx="32">
                  <c:v>0.24481327800829875</c:v>
                </c:pt>
                <c:pt idx="33">
                  <c:v>0.24896265560165975</c:v>
                </c:pt>
                <c:pt idx="34">
                  <c:v>0.25311203319502074</c:v>
                </c:pt>
                <c:pt idx="35">
                  <c:v>0.26141078838174275</c:v>
                </c:pt>
                <c:pt idx="36">
                  <c:v>0.26141078838174275</c:v>
                </c:pt>
                <c:pt idx="37">
                  <c:v>0.26141078838174275</c:v>
                </c:pt>
                <c:pt idx="38">
                  <c:v>0.26556016597510373</c:v>
                </c:pt>
                <c:pt idx="39">
                  <c:v>0.26970954356846472</c:v>
                </c:pt>
                <c:pt idx="40">
                  <c:v>0.28215767634854771</c:v>
                </c:pt>
                <c:pt idx="41">
                  <c:v>0.28215767634854771</c:v>
                </c:pt>
                <c:pt idx="42">
                  <c:v>0.2863070539419087</c:v>
                </c:pt>
                <c:pt idx="43">
                  <c:v>0.29460580912863071</c:v>
                </c:pt>
                <c:pt idx="44">
                  <c:v>0.29875518672199169</c:v>
                </c:pt>
                <c:pt idx="45">
                  <c:v>0.30290456431535268</c:v>
                </c:pt>
                <c:pt idx="46">
                  <c:v>0.30705394190871371</c:v>
                </c:pt>
                <c:pt idx="47">
                  <c:v>0.31120331950207469</c:v>
                </c:pt>
                <c:pt idx="48">
                  <c:v>0.31120331950207469</c:v>
                </c:pt>
                <c:pt idx="49">
                  <c:v>0.32365145228215769</c:v>
                </c:pt>
                <c:pt idx="50">
                  <c:v>0.34024896265560167</c:v>
                </c:pt>
                <c:pt idx="51">
                  <c:v>0.34854771784232363</c:v>
                </c:pt>
                <c:pt idx="52">
                  <c:v>0.34854771784232363</c:v>
                </c:pt>
                <c:pt idx="53">
                  <c:v>0.35684647302904565</c:v>
                </c:pt>
                <c:pt idx="54">
                  <c:v>0.36099585062240663</c:v>
                </c:pt>
                <c:pt idx="55">
                  <c:v>0.37344398340248963</c:v>
                </c:pt>
                <c:pt idx="56">
                  <c:v>0.38174273858921159</c:v>
                </c:pt>
                <c:pt idx="57">
                  <c:v>0.38174273858921159</c:v>
                </c:pt>
                <c:pt idx="58">
                  <c:v>0.38174273858921159</c:v>
                </c:pt>
                <c:pt idx="59">
                  <c:v>0.38589211618257263</c:v>
                </c:pt>
                <c:pt idx="60">
                  <c:v>0.39004149377593361</c:v>
                </c:pt>
                <c:pt idx="61">
                  <c:v>0.39004149377593361</c:v>
                </c:pt>
                <c:pt idx="62">
                  <c:v>0.39419087136929459</c:v>
                </c:pt>
                <c:pt idx="63">
                  <c:v>0.40248962655601661</c:v>
                </c:pt>
                <c:pt idx="64">
                  <c:v>0.40248962655601661</c:v>
                </c:pt>
                <c:pt idx="65">
                  <c:v>0.40663900414937759</c:v>
                </c:pt>
                <c:pt idx="66">
                  <c:v>0.41078838174273857</c:v>
                </c:pt>
                <c:pt idx="67">
                  <c:v>0.41493775933609961</c:v>
                </c:pt>
                <c:pt idx="68">
                  <c:v>0.41493775933609961</c:v>
                </c:pt>
                <c:pt idx="69">
                  <c:v>0.41908713692946059</c:v>
                </c:pt>
                <c:pt idx="70">
                  <c:v>0.42738589211618255</c:v>
                </c:pt>
                <c:pt idx="71">
                  <c:v>0.43983402489626555</c:v>
                </c:pt>
                <c:pt idx="72">
                  <c:v>0.44398340248962653</c:v>
                </c:pt>
                <c:pt idx="73">
                  <c:v>0.44398340248962653</c:v>
                </c:pt>
                <c:pt idx="74">
                  <c:v>0.45228215767634855</c:v>
                </c:pt>
                <c:pt idx="75">
                  <c:v>0.46058091286307051</c:v>
                </c:pt>
                <c:pt idx="76">
                  <c:v>0.47302904564315351</c:v>
                </c:pt>
                <c:pt idx="77">
                  <c:v>0.47302904564315351</c:v>
                </c:pt>
                <c:pt idx="78">
                  <c:v>0.47302904564315351</c:v>
                </c:pt>
                <c:pt idx="79">
                  <c:v>0.48132780082987553</c:v>
                </c:pt>
                <c:pt idx="80">
                  <c:v>0.48132780082987553</c:v>
                </c:pt>
                <c:pt idx="81">
                  <c:v>0.48132780082987553</c:v>
                </c:pt>
                <c:pt idx="82">
                  <c:v>0.48962655601659749</c:v>
                </c:pt>
                <c:pt idx="83">
                  <c:v>0.48962655601659749</c:v>
                </c:pt>
                <c:pt idx="84">
                  <c:v>0.49377593360995853</c:v>
                </c:pt>
                <c:pt idx="85">
                  <c:v>0.49792531120331951</c:v>
                </c:pt>
                <c:pt idx="86">
                  <c:v>0.49792531120331951</c:v>
                </c:pt>
                <c:pt idx="87">
                  <c:v>0.50622406639004147</c:v>
                </c:pt>
                <c:pt idx="88">
                  <c:v>0.51867219917012453</c:v>
                </c:pt>
                <c:pt idx="89">
                  <c:v>0.52282157676348551</c:v>
                </c:pt>
                <c:pt idx="90">
                  <c:v>0.52697095435684649</c:v>
                </c:pt>
                <c:pt idx="91">
                  <c:v>0.53941908713692943</c:v>
                </c:pt>
                <c:pt idx="92">
                  <c:v>0.53941908713692943</c:v>
                </c:pt>
                <c:pt idx="93">
                  <c:v>0.54356846473029041</c:v>
                </c:pt>
                <c:pt idx="94">
                  <c:v>0.54356846473029041</c:v>
                </c:pt>
                <c:pt idx="95">
                  <c:v>0.55186721991701249</c:v>
                </c:pt>
                <c:pt idx="96">
                  <c:v>0.55601659751037347</c:v>
                </c:pt>
                <c:pt idx="97">
                  <c:v>0.55601659751037347</c:v>
                </c:pt>
                <c:pt idx="98">
                  <c:v>0.55601659751037347</c:v>
                </c:pt>
                <c:pt idx="99">
                  <c:v>0.55601659751037347</c:v>
                </c:pt>
                <c:pt idx="100">
                  <c:v>0.56016597510373445</c:v>
                </c:pt>
                <c:pt idx="101">
                  <c:v>0.56016597510373445</c:v>
                </c:pt>
                <c:pt idx="102">
                  <c:v>0.56431535269709543</c:v>
                </c:pt>
                <c:pt idx="103">
                  <c:v>0.57261410788381739</c:v>
                </c:pt>
                <c:pt idx="104">
                  <c:v>0.57676348547717837</c:v>
                </c:pt>
                <c:pt idx="105">
                  <c:v>0.57676348547717837</c:v>
                </c:pt>
                <c:pt idx="106">
                  <c:v>0.57676348547717837</c:v>
                </c:pt>
                <c:pt idx="107">
                  <c:v>0.57676348547717837</c:v>
                </c:pt>
                <c:pt idx="108">
                  <c:v>0.57676348547717837</c:v>
                </c:pt>
                <c:pt idx="109">
                  <c:v>0.58091286307053946</c:v>
                </c:pt>
                <c:pt idx="110">
                  <c:v>0.58506224066390045</c:v>
                </c:pt>
                <c:pt idx="111">
                  <c:v>0.58921161825726143</c:v>
                </c:pt>
                <c:pt idx="112">
                  <c:v>0.59336099585062241</c:v>
                </c:pt>
                <c:pt idx="113">
                  <c:v>0.59751037344398339</c:v>
                </c:pt>
                <c:pt idx="114">
                  <c:v>0.60580912863070535</c:v>
                </c:pt>
                <c:pt idx="115">
                  <c:v>0.61825726141078841</c:v>
                </c:pt>
                <c:pt idx="116">
                  <c:v>0.61825726141078841</c:v>
                </c:pt>
                <c:pt idx="117">
                  <c:v>0.62240663900414939</c:v>
                </c:pt>
                <c:pt idx="118">
                  <c:v>0.63070539419087135</c:v>
                </c:pt>
                <c:pt idx="119">
                  <c:v>0.63485477178423233</c:v>
                </c:pt>
                <c:pt idx="120">
                  <c:v>0.6431535269709544</c:v>
                </c:pt>
                <c:pt idx="121">
                  <c:v>0.64730290456431538</c:v>
                </c:pt>
                <c:pt idx="122">
                  <c:v>0.65560165975103735</c:v>
                </c:pt>
                <c:pt idx="123">
                  <c:v>0.65975103734439833</c:v>
                </c:pt>
                <c:pt idx="124">
                  <c:v>0.66390041493775931</c:v>
                </c:pt>
                <c:pt idx="125">
                  <c:v>0.68049792531120334</c:v>
                </c:pt>
                <c:pt idx="126">
                  <c:v>0.70539419087136934</c:v>
                </c:pt>
                <c:pt idx="127">
                  <c:v>0.70954356846473032</c:v>
                </c:pt>
                <c:pt idx="128">
                  <c:v>0.71784232365145229</c:v>
                </c:pt>
                <c:pt idx="129">
                  <c:v>0.71784232365145229</c:v>
                </c:pt>
                <c:pt idx="130">
                  <c:v>0.72614107883817425</c:v>
                </c:pt>
                <c:pt idx="131">
                  <c:v>0.73029045643153523</c:v>
                </c:pt>
                <c:pt idx="132">
                  <c:v>0.73443983402489632</c:v>
                </c:pt>
                <c:pt idx="133">
                  <c:v>0.7385892116182573</c:v>
                </c:pt>
                <c:pt idx="134">
                  <c:v>0.74273858921161828</c:v>
                </c:pt>
                <c:pt idx="135">
                  <c:v>0.74688796680497926</c:v>
                </c:pt>
                <c:pt idx="136">
                  <c:v>0.75933609958506221</c:v>
                </c:pt>
                <c:pt idx="137">
                  <c:v>0.76348547717842319</c:v>
                </c:pt>
                <c:pt idx="138">
                  <c:v>0.77178423236514526</c:v>
                </c:pt>
                <c:pt idx="139">
                  <c:v>0.77593360995850624</c:v>
                </c:pt>
                <c:pt idx="140">
                  <c:v>0.78008298755186722</c:v>
                </c:pt>
                <c:pt idx="141">
                  <c:v>0.78423236514522821</c:v>
                </c:pt>
                <c:pt idx="142">
                  <c:v>0.78838174273858919</c:v>
                </c:pt>
                <c:pt idx="143">
                  <c:v>0.79253112033195017</c:v>
                </c:pt>
                <c:pt idx="144">
                  <c:v>0.79668049792531115</c:v>
                </c:pt>
                <c:pt idx="145">
                  <c:v>0.80497925311203322</c:v>
                </c:pt>
                <c:pt idx="146">
                  <c:v>0.8091286307053942</c:v>
                </c:pt>
                <c:pt idx="147">
                  <c:v>0.81327800829875518</c:v>
                </c:pt>
                <c:pt idx="148">
                  <c:v>0.81742738589211617</c:v>
                </c:pt>
                <c:pt idx="149">
                  <c:v>0.82572614107883813</c:v>
                </c:pt>
                <c:pt idx="150">
                  <c:v>0.82987551867219922</c:v>
                </c:pt>
                <c:pt idx="151">
                  <c:v>0.8340248962655602</c:v>
                </c:pt>
                <c:pt idx="152">
                  <c:v>0.83817427385892118</c:v>
                </c:pt>
                <c:pt idx="153">
                  <c:v>0.84647302904564314</c:v>
                </c:pt>
                <c:pt idx="154">
                  <c:v>0.85477178423236511</c:v>
                </c:pt>
                <c:pt idx="155">
                  <c:v>0.87136929460580914</c:v>
                </c:pt>
                <c:pt idx="156">
                  <c:v>0.8796680497925311</c:v>
                </c:pt>
                <c:pt idx="157">
                  <c:v>0.88796680497925307</c:v>
                </c:pt>
                <c:pt idx="158">
                  <c:v>0.89211618257261416</c:v>
                </c:pt>
                <c:pt idx="159">
                  <c:v>0.90041493775933612</c:v>
                </c:pt>
                <c:pt idx="160">
                  <c:v>0.9045643153526971</c:v>
                </c:pt>
                <c:pt idx="161">
                  <c:v>0.90871369294605808</c:v>
                </c:pt>
                <c:pt idx="162">
                  <c:v>0.91286307053941906</c:v>
                </c:pt>
                <c:pt idx="163">
                  <c:v>0.91701244813278004</c:v>
                </c:pt>
                <c:pt idx="164">
                  <c:v>0.92116182572614103</c:v>
                </c:pt>
                <c:pt idx="165">
                  <c:v>0.92531120331950212</c:v>
                </c:pt>
                <c:pt idx="166">
                  <c:v>0.93775933609958506</c:v>
                </c:pt>
                <c:pt idx="167">
                  <c:v>0.94190871369294604</c:v>
                </c:pt>
                <c:pt idx="168">
                  <c:v>0.950207468879668</c:v>
                </c:pt>
                <c:pt idx="169">
                  <c:v>0.9543568464730291</c:v>
                </c:pt>
                <c:pt idx="170">
                  <c:v>0.95850622406639008</c:v>
                </c:pt>
                <c:pt idx="171">
                  <c:v>0.96265560165975106</c:v>
                </c:pt>
                <c:pt idx="172">
                  <c:v>0.975103734439834</c:v>
                </c:pt>
                <c:pt idx="173">
                  <c:v>0.97925311203319498</c:v>
                </c:pt>
                <c:pt idx="174">
                  <c:v>0.98340248962655596</c:v>
                </c:pt>
                <c:pt idx="175">
                  <c:v>0.98755186721991706</c:v>
                </c:pt>
                <c:pt idx="176">
                  <c:v>0.99170124481327804</c:v>
                </c:pt>
                <c:pt idx="177">
                  <c:v>0.99585062240663902</c:v>
                </c:pt>
                <c:pt idx="178">
                  <c:v>1</c:v>
                </c:pt>
              </c:numCache>
            </c:numRef>
          </c:xVal>
          <c:yVal>
            <c:numRef>
              <c:f>LR_TrainingLiftChart!$CB$2:$CB$180</c:f>
              <c:numCache>
                <c:formatCode>General</c:formatCode>
                <c:ptCount val="179"/>
                <c:pt idx="0">
                  <c:v>0</c:v>
                </c:pt>
                <c:pt idx="1">
                  <c:v>8.2987551867219917E-3</c:v>
                </c:pt>
                <c:pt idx="2">
                  <c:v>1.2448132780082987E-2</c:v>
                </c:pt>
                <c:pt idx="3">
                  <c:v>2.4896265560165973E-2</c:v>
                </c:pt>
                <c:pt idx="4">
                  <c:v>3.3195020746887967E-2</c:v>
                </c:pt>
                <c:pt idx="5">
                  <c:v>3.7344398340248962E-2</c:v>
                </c:pt>
                <c:pt idx="6">
                  <c:v>4.5643153526970952E-2</c:v>
                </c:pt>
                <c:pt idx="7">
                  <c:v>5.8091286307053944E-2</c:v>
                </c:pt>
                <c:pt idx="8">
                  <c:v>7.0539419087136929E-2</c:v>
                </c:pt>
                <c:pt idx="9">
                  <c:v>7.4688796680497924E-2</c:v>
                </c:pt>
                <c:pt idx="10">
                  <c:v>8.7136929460580909E-2</c:v>
                </c:pt>
                <c:pt idx="11">
                  <c:v>9.1286307053941904E-2</c:v>
                </c:pt>
                <c:pt idx="12">
                  <c:v>9.1286307053941904E-2</c:v>
                </c:pt>
                <c:pt idx="13">
                  <c:v>0.1037344398340249</c:v>
                </c:pt>
                <c:pt idx="14">
                  <c:v>0.1078838174273859</c:v>
                </c:pt>
                <c:pt idx="15">
                  <c:v>0.11618257261410789</c:v>
                </c:pt>
                <c:pt idx="16">
                  <c:v>0.12033195020746888</c:v>
                </c:pt>
                <c:pt idx="17">
                  <c:v>0.12448132780082988</c:v>
                </c:pt>
                <c:pt idx="18">
                  <c:v>0.13278008298755187</c:v>
                </c:pt>
                <c:pt idx="19">
                  <c:v>0.14107883817427386</c:v>
                </c:pt>
                <c:pt idx="20">
                  <c:v>0.14522821576763487</c:v>
                </c:pt>
                <c:pt idx="21">
                  <c:v>0.15352697095435686</c:v>
                </c:pt>
                <c:pt idx="22">
                  <c:v>0.15767634854771784</c:v>
                </c:pt>
                <c:pt idx="23">
                  <c:v>0.16182572614107885</c:v>
                </c:pt>
                <c:pt idx="24">
                  <c:v>0.17012448132780084</c:v>
                </c:pt>
                <c:pt idx="25">
                  <c:v>0.17842323651452283</c:v>
                </c:pt>
                <c:pt idx="26">
                  <c:v>0.19502074688796681</c:v>
                </c:pt>
                <c:pt idx="27">
                  <c:v>0.19917012448132779</c:v>
                </c:pt>
                <c:pt idx="28">
                  <c:v>0.2033195020746888</c:v>
                </c:pt>
                <c:pt idx="29">
                  <c:v>0.21991701244813278</c:v>
                </c:pt>
                <c:pt idx="30">
                  <c:v>0.23236514522821577</c:v>
                </c:pt>
                <c:pt idx="31">
                  <c:v>0.24066390041493776</c:v>
                </c:pt>
                <c:pt idx="32">
                  <c:v>0.24481327800829875</c:v>
                </c:pt>
                <c:pt idx="33">
                  <c:v>0.24896265560165975</c:v>
                </c:pt>
                <c:pt idx="34">
                  <c:v>0.25311203319502074</c:v>
                </c:pt>
                <c:pt idx="35">
                  <c:v>0.26141078838174275</c:v>
                </c:pt>
                <c:pt idx="36">
                  <c:v>0.26141078838174275</c:v>
                </c:pt>
                <c:pt idx="37">
                  <c:v>0.26141078838174275</c:v>
                </c:pt>
                <c:pt idx="38">
                  <c:v>0.26556016597510373</c:v>
                </c:pt>
                <c:pt idx="39">
                  <c:v>0.26970954356846472</c:v>
                </c:pt>
                <c:pt idx="40">
                  <c:v>0.28215767634854771</c:v>
                </c:pt>
                <c:pt idx="41">
                  <c:v>0.28215767634854771</c:v>
                </c:pt>
                <c:pt idx="42">
                  <c:v>0.2863070539419087</c:v>
                </c:pt>
                <c:pt idx="43">
                  <c:v>0.29460580912863071</c:v>
                </c:pt>
                <c:pt idx="44">
                  <c:v>0.29875518672199169</c:v>
                </c:pt>
                <c:pt idx="45">
                  <c:v>0.30290456431535268</c:v>
                </c:pt>
                <c:pt idx="46">
                  <c:v>0.30705394190871371</c:v>
                </c:pt>
                <c:pt idx="47">
                  <c:v>0.31120331950207469</c:v>
                </c:pt>
                <c:pt idx="48">
                  <c:v>0.31120331950207469</c:v>
                </c:pt>
                <c:pt idx="49">
                  <c:v>0.32365145228215769</c:v>
                </c:pt>
                <c:pt idx="50">
                  <c:v>0.34024896265560167</c:v>
                </c:pt>
                <c:pt idx="51">
                  <c:v>0.34854771784232363</c:v>
                </c:pt>
                <c:pt idx="52">
                  <c:v>0.34854771784232363</c:v>
                </c:pt>
                <c:pt idx="53">
                  <c:v>0.35684647302904565</c:v>
                </c:pt>
                <c:pt idx="54">
                  <c:v>0.36099585062240663</c:v>
                </c:pt>
                <c:pt idx="55">
                  <c:v>0.37344398340248963</c:v>
                </c:pt>
                <c:pt idx="56">
                  <c:v>0.38174273858921159</c:v>
                </c:pt>
                <c:pt idx="57">
                  <c:v>0.38174273858921159</c:v>
                </c:pt>
                <c:pt idx="58">
                  <c:v>0.38174273858921159</c:v>
                </c:pt>
                <c:pt idx="59">
                  <c:v>0.38589211618257263</c:v>
                </c:pt>
                <c:pt idx="60">
                  <c:v>0.39004149377593361</c:v>
                </c:pt>
                <c:pt idx="61">
                  <c:v>0.39004149377593361</c:v>
                </c:pt>
                <c:pt idx="62">
                  <c:v>0.39419087136929459</c:v>
                </c:pt>
                <c:pt idx="63">
                  <c:v>0.40248962655601661</c:v>
                </c:pt>
                <c:pt idx="64">
                  <c:v>0.40248962655601661</c:v>
                </c:pt>
                <c:pt idx="65">
                  <c:v>0.40663900414937759</c:v>
                </c:pt>
                <c:pt idx="66">
                  <c:v>0.41078838174273857</c:v>
                </c:pt>
                <c:pt idx="67">
                  <c:v>0.41493775933609961</c:v>
                </c:pt>
                <c:pt idx="68">
                  <c:v>0.41493775933609961</c:v>
                </c:pt>
                <c:pt idx="69">
                  <c:v>0.41908713692946059</c:v>
                </c:pt>
                <c:pt idx="70">
                  <c:v>0.42738589211618255</c:v>
                </c:pt>
                <c:pt idx="71">
                  <c:v>0.43983402489626555</c:v>
                </c:pt>
                <c:pt idx="72">
                  <c:v>0.44398340248962653</c:v>
                </c:pt>
                <c:pt idx="73">
                  <c:v>0.44398340248962653</c:v>
                </c:pt>
                <c:pt idx="74">
                  <c:v>0.45228215767634855</c:v>
                </c:pt>
                <c:pt idx="75">
                  <c:v>0.46058091286307051</c:v>
                </c:pt>
                <c:pt idx="76">
                  <c:v>0.47302904564315351</c:v>
                </c:pt>
                <c:pt idx="77">
                  <c:v>0.47302904564315351</c:v>
                </c:pt>
                <c:pt idx="78">
                  <c:v>0.47302904564315351</c:v>
                </c:pt>
                <c:pt idx="79">
                  <c:v>0.48132780082987553</c:v>
                </c:pt>
                <c:pt idx="80">
                  <c:v>0.48132780082987553</c:v>
                </c:pt>
                <c:pt idx="81">
                  <c:v>0.48132780082987553</c:v>
                </c:pt>
                <c:pt idx="82">
                  <c:v>0.48962655601659749</c:v>
                </c:pt>
                <c:pt idx="83">
                  <c:v>0.48962655601659749</c:v>
                </c:pt>
                <c:pt idx="84">
                  <c:v>0.49377593360995853</c:v>
                </c:pt>
                <c:pt idx="85">
                  <c:v>0.49792531120331951</c:v>
                </c:pt>
                <c:pt idx="86">
                  <c:v>0.49792531120331951</c:v>
                </c:pt>
                <c:pt idx="87">
                  <c:v>0.50622406639004147</c:v>
                </c:pt>
                <c:pt idx="88">
                  <c:v>0.51867219917012453</c:v>
                </c:pt>
                <c:pt idx="89">
                  <c:v>0.52282157676348551</c:v>
                </c:pt>
                <c:pt idx="90">
                  <c:v>0.52697095435684649</c:v>
                </c:pt>
                <c:pt idx="91">
                  <c:v>0.53941908713692943</c:v>
                </c:pt>
                <c:pt idx="92">
                  <c:v>0.53941908713692943</c:v>
                </c:pt>
                <c:pt idx="93">
                  <c:v>0.54356846473029041</c:v>
                </c:pt>
                <c:pt idx="94">
                  <c:v>0.54356846473029041</c:v>
                </c:pt>
                <c:pt idx="95">
                  <c:v>0.55186721991701249</c:v>
                </c:pt>
                <c:pt idx="96">
                  <c:v>0.55601659751037347</c:v>
                </c:pt>
                <c:pt idx="97">
                  <c:v>0.55601659751037347</c:v>
                </c:pt>
                <c:pt idx="98">
                  <c:v>0.55601659751037347</c:v>
                </c:pt>
                <c:pt idx="99">
                  <c:v>0.55601659751037347</c:v>
                </c:pt>
                <c:pt idx="100">
                  <c:v>0.56016597510373445</c:v>
                </c:pt>
                <c:pt idx="101">
                  <c:v>0.56016597510373445</c:v>
                </c:pt>
                <c:pt idx="102">
                  <c:v>0.56431535269709543</c:v>
                </c:pt>
                <c:pt idx="103">
                  <c:v>0.57261410788381739</c:v>
                </c:pt>
                <c:pt idx="104">
                  <c:v>0.57676348547717837</c:v>
                </c:pt>
                <c:pt idx="105">
                  <c:v>0.57676348547717837</c:v>
                </c:pt>
                <c:pt idx="106">
                  <c:v>0.57676348547717837</c:v>
                </c:pt>
                <c:pt idx="107">
                  <c:v>0.57676348547717837</c:v>
                </c:pt>
                <c:pt idx="108">
                  <c:v>0.57676348547717837</c:v>
                </c:pt>
                <c:pt idx="109">
                  <c:v>0.58091286307053946</c:v>
                </c:pt>
                <c:pt idx="110">
                  <c:v>0.58506224066390045</c:v>
                </c:pt>
                <c:pt idx="111">
                  <c:v>0.58921161825726143</c:v>
                </c:pt>
                <c:pt idx="112">
                  <c:v>0.59336099585062241</c:v>
                </c:pt>
                <c:pt idx="113">
                  <c:v>0.59751037344398339</c:v>
                </c:pt>
                <c:pt idx="114">
                  <c:v>0.60580912863070535</c:v>
                </c:pt>
                <c:pt idx="115">
                  <c:v>0.61825726141078841</c:v>
                </c:pt>
                <c:pt idx="116">
                  <c:v>0.61825726141078841</c:v>
                </c:pt>
                <c:pt idx="117">
                  <c:v>0.62240663900414939</c:v>
                </c:pt>
                <c:pt idx="118">
                  <c:v>0.63070539419087135</c:v>
                </c:pt>
                <c:pt idx="119">
                  <c:v>0.63485477178423233</c:v>
                </c:pt>
                <c:pt idx="120">
                  <c:v>0.6431535269709544</c:v>
                </c:pt>
                <c:pt idx="121">
                  <c:v>0.64730290456431538</c:v>
                </c:pt>
                <c:pt idx="122">
                  <c:v>0.65560165975103735</c:v>
                </c:pt>
                <c:pt idx="123">
                  <c:v>0.65975103734439833</c:v>
                </c:pt>
                <c:pt idx="124">
                  <c:v>0.66390041493775931</c:v>
                </c:pt>
                <c:pt idx="125">
                  <c:v>0.68049792531120334</c:v>
                </c:pt>
                <c:pt idx="126">
                  <c:v>0.70539419087136934</c:v>
                </c:pt>
                <c:pt idx="127">
                  <c:v>0.70954356846473032</c:v>
                </c:pt>
                <c:pt idx="128">
                  <c:v>0.71784232365145229</c:v>
                </c:pt>
                <c:pt idx="129">
                  <c:v>0.71784232365145229</c:v>
                </c:pt>
                <c:pt idx="130">
                  <c:v>0.72614107883817425</c:v>
                </c:pt>
                <c:pt idx="131">
                  <c:v>0.73029045643153523</c:v>
                </c:pt>
                <c:pt idx="132">
                  <c:v>0.73443983402489632</c:v>
                </c:pt>
                <c:pt idx="133">
                  <c:v>0.7385892116182573</c:v>
                </c:pt>
                <c:pt idx="134">
                  <c:v>0.74273858921161828</c:v>
                </c:pt>
                <c:pt idx="135">
                  <c:v>0.74688796680497926</c:v>
                </c:pt>
                <c:pt idx="136">
                  <c:v>0.75933609958506221</c:v>
                </c:pt>
                <c:pt idx="137">
                  <c:v>0.76348547717842319</c:v>
                </c:pt>
                <c:pt idx="138">
                  <c:v>0.77178423236514526</c:v>
                </c:pt>
                <c:pt idx="139">
                  <c:v>0.77593360995850624</c:v>
                </c:pt>
                <c:pt idx="140">
                  <c:v>0.78008298755186722</c:v>
                </c:pt>
                <c:pt idx="141">
                  <c:v>0.78423236514522821</c:v>
                </c:pt>
                <c:pt idx="142">
                  <c:v>0.78838174273858919</c:v>
                </c:pt>
                <c:pt idx="143">
                  <c:v>0.79253112033195017</c:v>
                </c:pt>
                <c:pt idx="144">
                  <c:v>0.79668049792531115</c:v>
                </c:pt>
                <c:pt idx="145">
                  <c:v>0.80497925311203322</c:v>
                </c:pt>
                <c:pt idx="146">
                  <c:v>0.8091286307053942</c:v>
                </c:pt>
                <c:pt idx="147">
                  <c:v>0.81327800829875518</c:v>
                </c:pt>
                <c:pt idx="148">
                  <c:v>0.81742738589211617</c:v>
                </c:pt>
                <c:pt idx="149">
                  <c:v>0.82572614107883813</c:v>
                </c:pt>
                <c:pt idx="150">
                  <c:v>0.82987551867219922</c:v>
                </c:pt>
                <c:pt idx="151">
                  <c:v>0.8340248962655602</c:v>
                </c:pt>
                <c:pt idx="152">
                  <c:v>0.83817427385892118</c:v>
                </c:pt>
                <c:pt idx="153">
                  <c:v>0.84647302904564314</c:v>
                </c:pt>
                <c:pt idx="154">
                  <c:v>0.85477178423236511</c:v>
                </c:pt>
                <c:pt idx="155">
                  <c:v>0.87136929460580914</c:v>
                </c:pt>
                <c:pt idx="156">
                  <c:v>0.8796680497925311</c:v>
                </c:pt>
                <c:pt idx="157">
                  <c:v>0.88796680497925307</c:v>
                </c:pt>
                <c:pt idx="158">
                  <c:v>0.89211618257261416</c:v>
                </c:pt>
                <c:pt idx="159">
                  <c:v>0.90041493775933612</c:v>
                </c:pt>
                <c:pt idx="160">
                  <c:v>0.9045643153526971</c:v>
                </c:pt>
                <c:pt idx="161">
                  <c:v>0.90871369294605808</c:v>
                </c:pt>
                <c:pt idx="162">
                  <c:v>0.91286307053941906</c:v>
                </c:pt>
                <c:pt idx="163">
                  <c:v>0.91701244813278004</c:v>
                </c:pt>
                <c:pt idx="164">
                  <c:v>0.92116182572614103</c:v>
                </c:pt>
                <c:pt idx="165">
                  <c:v>0.92531120331950212</c:v>
                </c:pt>
                <c:pt idx="166">
                  <c:v>0.93775933609958506</c:v>
                </c:pt>
                <c:pt idx="167">
                  <c:v>0.94190871369294604</c:v>
                </c:pt>
                <c:pt idx="168">
                  <c:v>0.950207468879668</c:v>
                </c:pt>
                <c:pt idx="169">
                  <c:v>0.9543568464730291</c:v>
                </c:pt>
                <c:pt idx="170">
                  <c:v>0.95850622406639008</c:v>
                </c:pt>
                <c:pt idx="171">
                  <c:v>0.96265560165975106</c:v>
                </c:pt>
                <c:pt idx="172">
                  <c:v>0.975103734439834</c:v>
                </c:pt>
                <c:pt idx="173">
                  <c:v>0.97925311203319498</c:v>
                </c:pt>
                <c:pt idx="174">
                  <c:v>0.98340248962655596</c:v>
                </c:pt>
                <c:pt idx="175">
                  <c:v>0.98755186721991706</c:v>
                </c:pt>
                <c:pt idx="176">
                  <c:v>0.99170124481327804</c:v>
                </c:pt>
                <c:pt idx="177">
                  <c:v>0.99585062240663902</c:v>
                </c:pt>
                <c:pt idx="17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46-4E2E-8899-E96FAE1F6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298000"/>
        <c:axId val="1290308400"/>
      </c:scatterChart>
      <c:valAx>
        <c:axId val="129029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0308400"/>
        <c:crosses val="autoZero"/>
        <c:crossBetween val="midCat"/>
      </c:valAx>
      <c:valAx>
        <c:axId val="1290308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02980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(validation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Dropped when sorted using predicted values</c:v>
          </c:tx>
          <c:spPr>
            <a:ln w="6350"/>
          </c:spPr>
          <c:marker>
            <c:symbol val="none"/>
          </c:marker>
          <c:xVal>
            <c:numRef>
              <c:f>LR_ValidationLiftChart!$AZ$4:$AZ$203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LR_ValidationLiftChart!$BC$4:$BC$203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17</c:v>
                </c:pt>
                <c:pt idx="77">
                  <c:v>17</c:v>
                </c:pt>
                <c:pt idx="78">
                  <c:v>17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19</c:v>
                </c:pt>
                <c:pt idx="83">
                  <c:v>20</c:v>
                </c:pt>
                <c:pt idx="84">
                  <c:v>20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22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6">
                  <c:v>24</c:v>
                </c:pt>
                <c:pt idx="97">
                  <c:v>25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27</c:v>
                </c:pt>
                <c:pt idx="102">
                  <c:v>27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32</c:v>
                </c:pt>
                <c:pt idx="118">
                  <c:v>32</c:v>
                </c:pt>
                <c:pt idx="119">
                  <c:v>33</c:v>
                </c:pt>
                <c:pt idx="120">
                  <c:v>33</c:v>
                </c:pt>
                <c:pt idx="121">
                  <c:v>33</c:v>
                </c:pt>
                <c:pt idx="122">
                  <c:v>33</c:v>
                </c:pt>
                <c:pt idx="123">
                  <c:v>33</c:v>
                </c:pt>
                <c:pt idx="124">
                  <c:v>33</c:v>
                </c:pt>
                <c:pt idx="125">
                  <c:v>33</c:v>
                </c:pt>
                <c:pt idx="126">
                  <c:v>33</c:v>
                </c:pt>
                <c:pt idx="127">
                  <c:v>34</c:v>
                </c:pt>
                <c:pt idx="128">
                  <c:v>34</c:v>
                </c:pt>
                <c:pt idx="129">
                  <c:v>34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34</c:v>
                </c:pt>
                <c:pt idx="136">
                  <c:v>34</c:v>
                </c:pt>
                <c:pt idx="137">
                  <c:v>35</c:v>
                </c:pt>
                <c:pt idx="138">
                  <c:v>35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36</c:v>
                </c:pt>
                <c:pt idx="151">
                  <c:v>36</c:v>
                </c:pt>
                <c:pt idx="152">
                  <c:v>36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37</c:v>
                </c:pt>
                <c:pt idx="160">
                  <c:v>37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38</c:v>
                </c:pt>
                <c:pt idx="166">
                  <c:v>38</c:v>
                </c:pt>
                <c:pt idx="167">
                  <c:v>38</c:v>
                </c:pt>
                <c:pt idx="168">
                  <c:v>38</c:v>
                </c:pt>
                <c:pt idx="169">
                  <c:v>38</c:v>
                </c:pt>
                <c:pt idx="170">
                  <c:v>38</c:v>
                </c:pt>
                <c:pt idx="171">
                  <c:v>38</c:v>
                </c:pt>
                <c:pt idx="172">
                  <c:v>38</c:v>
                </c:pt>
                <c:pt idx="173">
                  <c:v>38</c:v>
                </c:pt>
                <c:pt idx="174">
                  <c:v>39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39</c:v>
                </c:pt>
                <c:pt idx="179">
                  <c:v>39</c:v>
                </c:pt>
                <c:pt idx="180">
                  <c:v>39</c:v>
                </c:pt>
                <c:pt idx="181">
                  <c:v>39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39</c:v>
                </c:pt>
                <c:pt idx="186">
                  <c:v>39</c:v>
                </c:pt>
                <c:pt idx="187">
                  <c:v>39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39</c:v>
                </c:pt>
                <c:pt idx="192">
                  <c:v>39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39</c:v>
                </c:pt>
                <c:pt idx="197">
                  <c:v>39</c:v>
                </c:pt>
                <c:pt idx="198">
                  <c:v>39</c:v>
                </c:pt>
                <c:pt idx="199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97-46C0-8A84-51BA01AE7866}"/>
            </c:ext>
          </c:extLst>
        </c:ser>
        <c:ser>
          <c:idx val="1"/>
          <c:order val="1"/>
          <c:tx>
            <c:v>Cumulative Dropped using average</c:v>
          </c:tx>
          <c:spPr>
            <a:ln w="6350"/>
          </c:spPr>
          <c:marker>
            <c:symbol val="none"/>
          </c:marker>
          <c:xVal>
            <c:numRef>
              <c:f>LR_ValidationLiftChart!$AZ$4:$AZ$203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LR_ValidationLiftChart!$BD$4:$BD$203</c:f>
              <c:numCache>
                <c:formatCode>General</c:formatCode>
                <c:ptCount val="200"/>
                <c:pt idx="0">
                  <c:v>0.19500000000000001</c:v>
                </c:pt>
                <c:pt idx="1">
                  <c:v>0.39</c:v>
                </c:pt>
                <c:pt idx="2">
                  <c:v>0.58499999999999996</c:v>
                </c:pt>
                <c:pt idx="3">
                  <c:v>0.78</c:v>
                </c:pt>
                <c:pt idx="4">
                  <c:v>0.97500000000000009</c:v>
                </c:pt>
                <c:pt idx="5">
                  <c:v>1.17</c:v>
                </c:pt>
                <c:pt idx="6">
                  <c:v>1.365</c:v>
                </c:pt>
                <c:pt idx="7">
                  <c:v>1.56</c:v>
                </c:pt>
                <c:pt idx="8">
                  <c:v>1.7550000000000001</c:v>
                </c:pt>
                <c:pt idx="9">
                  <c:v>1.9500000000000002</c:v>
                </c:pt>
                <c:pt idx="10">
                  <c:v>2.145</c:v>
                </c:pt>
                <c:pt idx="11">
                  <c:v>2.34</c:v>
                </c:pt>
                <c:pt idx="12">
                  <c:v>2.5350000000000001</c:v>
                </c:pt>
                <c:pt idx="13">
                  <c:v>2.73</c:v>
                </c:pt>
                <c:pt idx="14">
                  <c:v>2.9250000000000003</c:v>
                </c:pt>
                <c:pt idx="15">
                  <c:v>3.12</c:v>
                </c:pt>
                <c:pt idx="16">
                  <c:v>3.3149999999999999</c:v>
                </c:pt>
                <c:pt idx="17">
                  <c:v>3.5100000000000002</c:v>
                </c:pt>
                <c:pt idx="18">
                  <c:v>3.7050000000000001</c:v>
                </c:pt>
                <c:pt idx="19">
                  <c:v>3.9000000000000004</c:v>
                </c:pt>
                <c:pt idx="20">
                  <c:v>4.0949999999999998</c:v>
                </c:pt>
                <c:pt idx="21">
                  <c:v>4.29</c:v>
                </c:pt>
                <c:pt idx="22">
                  <c:v>4.4850000000000003</c:v>
                </c:pt>
                <c:pt idx="23">
                  <c:v>4.68</c:v>
                </c:pt>
                <c:pt idx="24">
                  <c:v>4.875</c:v>
                </c:pt>
                <c:pt idx="25">
                  <c:v>5.07</c:v>
                </c:pt>
                <c:pt idx="26">
                  <c:v>5.2650000000000006</c:v>
                </c:pt>
                <c:pt idx="27">
                  <c:v>5.46</c:v>
                </c:pt>
                <c:pt idx="28">
                  <c:v>5.6550000000000002</c:v>
                </c:pt>
                <c:pt idx="29">
                  <c:v>5.8500000000000005</c:v>
                </c:pt>
                <c:pt idx="30">
                  <c:v>6.0449999999999999</c:v>
                </c:pt>
                <c:pt idx="31">
                  <c:v>6.24</c:v>
                </c:pt>
                <c:pt idx="32">
                  <c:v>6.4350000000000005</c:v>
                </c:pt>
                <c:pt idx="33">
                  <c:v>6.63</c:v>
                </c:pt>
                <c:pt idx="34">
                  <c:v>6.8250000000000002</c:v>
                </c:pt>
                <c:pt idx="35">
                  <c:v>7.0200000000000005</c:v>
                </c:pt>
                <c:pt idx="36">
                  <c:v>7.2149999999999999</c:v>
                </c:pt>
                <c:pt idx="37">
                  <c:v>7.41</c:v>
                </c:pt>
                <c:pt idx="38">
                  <c:v>7.6050000000000004</c:v>
                </c:pt>
                <c:pt idx="39">
                  <c:v>7.8000000000000007</c:v>
                </c:pt>
                <c:pt idx="40">
                  <c:v>7.9950000000000001</c:v>
                </c:pt>
                <c:pt idx="41">
                  <c:v>8.19</c:v>
                </c:pt>
                <c:pt idx="42">
                  <c:v>8.3849999999999998</c:v>
                </c:pt>
                <c:pt idx="43">
                  <c:v>8.58</c:v>
                </c:pt>
                <c:pt idx="44">
                  <c:v>8.7750000000000004</c:v>
                </c:pt>
                <c:pt idx="45">
                  <c:v>8.9700000000000006</c:v>
                </c:pt>
                <c:pt idx="46">
                  <c:v>9.1650000000000009</c:v>
                </c:pt>
                <c:pt idx="47">
                  <c:v>9.36</c:v>
                </c:pt>
                <c:pt idx="48">
                  <c:v>9.5549999999999997</c:v>
                </c:pt>
                <c:pt idx="49">
                  <c:v>9.75</c:v>
                </c:pt>
                <c:pt idx="50">
                  <c:v>9.9450000000000003</c:v>
                </c:pt>
                <c:pt idx="51">
                  <c:v>10.14</c:v>
                </c:pt>
                <c:pt idx="52">
                  <c:v>10.335000000000001</c:v>
                </c:pt>
                <c:pt idx="53">
                  <c:v>10.530000000000001</c:v>
                </c:pt>
                <c:pt idx="54">
                  <c:v>10.725</c:v>
                </c:pt>
                <c:pt idx="55">
                  <c:v>10.92</c:v>
                </c:pt>
                <c:pt idx="56">
                  <c:v>11.115</c:v>
                </c:pt>
                <c:pt idx="57">
                  <c:v>11.31</c:v>
                </c:pt>
                <c:pt idx="58">
                  <c:v>11.505000000000001</c:v>
                </c:pt>
                <c:pt idx="59">
                  <c:v>11.700000000000001</c:v>
                </c:pt>
                <c:pt idx="60">
                  <c:v>11.895</c:v>
                </c:pt>
                <c:pt idx="61">
                  <c:v>12.09</c:v>
                </c:pt>
                <c:pt idx="62">
                  <c:v>12.285</c:v>
                </c:pt>
                <c:pt idx="63">
                  <c:v>12.48</c:v>
                </c:pt>
                <c:pt idx="64">
                  <c:v>12.675000000000001</c:v>
                </c:pt>
                <c:pt idx="65">
                  <c:v>12.870000000000001</c:v>
                </c:pt>
                <c:pt idx="66">
                  <c:v>13.065000000000001</c:v>
                </c:pt>
                <c:pt idx="67">
                  <c:v>13.26</c:v>
                </c:pt>
                <c:pt idx="68">
                  <c:v>13.455</c:v>
                </c:pt>
                <c:pt idx="69">
                  <c:v>13.65</c:v>
                </c:pt>
                <c:pt idx="70">
                  <c:v>13.845000000000001</c:v>
                </c:pt>
                <c:pt idx="71">
                  <c:v>14.040000000000001</c:v>
                </c:pt>
                <c:pt idx="72">
                  <c:v>14.235000000000001</c:v>
                </c:pt>
                <c:pt idx="73">
                  <c:v>14.43</c:v>
                </c:pt>
                <c:pt idx="74">
                  <c:v>14.625</c:v>
                </c:pt>
                <c:pt idx="75">
                  <c:v>14.82</c:v>
                </c:pt>
                <c:pt idx="76">
                  <c:v>15.015000000000001</c:v>
                </c:pt>
                <c:pt idx="77">
                  <c:v>15.21</c:v>
                </c:pt>
                <c:pt idx="78">
                  <c:v>15.405000000000001</c:v>
                </c:pt>
                <c:pt idx="79">
                  <c:v>15.600000000000001</c:v>
                </c:pt>
                <c:pt idx="80">
                  <c:v>15.795</c:v>
                </c:pt>
                <c:pt idx="81">
                  <c:v>15.99</c:v>
                </c:pt>
                <c:pt idx="82">
                  <c:v>16.185000000000002</c:v>
                </c:pt>
                <c:pt idx="83">
                  <c:v>16.38</c:v>
                </c:pt>
                <c:pt idx="84">
                  <c:v>16.574999999999999</c:v>
                </c:pt>
                <c:pt idx="85">
                  <c:v>16.77</c:v>
                </c:pt>
                <c:pt idx="86">
                  <c:v>16.965</c:v>
                </c:pt>
                <c:pt idx="87">
                  <c:v>17.16</c:v>
                </c:pt>
                <c:pt idx="88">
                  <c:v>17.355</c:v>
                </c:pt>
                <c:pt idx="89">
                  <c:v>17.55</c:v>
                </c:pt>
                <c:pt idx="90">
                  <c:v>17.745000000000001</c:v>
                </c:pt>
                <c:pt idx="91">
                  <c:v>17.940000000000001</c:v>
                </c:pt>
                <c:pt idx="92">
                  <c:v>18.135000000000002</c:v>
                </c:pt>
                <c:pt idx="93">
                  <c:v>18.330000000000002</c:v>
                </c:pt>
                <c:pt idx="94">
                  <c:v>18.525000000000002</c:v>
                </c:pt>
                <c:pt idx="95">
                  <c:v>18.72</c:v>
                </c:pt>
                <c:pt idx="96">
                  <c:v>18.914999999999999</c:v>
                </c:pt>
                <c:pt idx="97">
                  <c:v>19.11</c:v>
                </c:pt>
                <c:pt idx="98">
                  <c:v>19.305</c:v>
                </c:pt>
                <c:pt idx="99">
                  <c:v>19.5</c:v>
                </c:pt>
                <c:pt idx="100">
                  <c:v>19.695</c:v>
                </c:pt>
                <c:pt idx="101">
                  <c:v>19.89</c:v>
                </c:pt>
                <c:pt idx="102">
                  <c:v>20.085000000000001</c:v>
                </c:pt>
                <c:pt idx="103">
                  <c:v>20.28</c:v>
                </c:pt>
                <c:pt idx="104">
                  <c:v>20.475000000000001</c:v>
                </c:pt>
                <c:pt idx="105">
                  <c:v>20.67</c:v>
                </c:pt>
                <c:pt idx="106">
                  <c:v>20.865000000000002</c:v>
                </c:pt>
                <c:pt idx="107">
                  <c:v>21.060000000000002</c:v>
                </c:pt>
                <c:pt idx="108">
                  <c:v>21.254999999999999</c:v>
                </c:pt>
                <c:pt idx="109">
                  <c:v>21.45</c:v>
                </c:pt>
                <c:pt idx="110">
                  <c:v>21.645</c:v>
                </c:pt>
                <c:pt idx="111">
                  <c:v>21.84</c:v>
                </c:pt>
                <c:pt idx="112">
                  <c:v>22.035</c:v>
                </c:pt>
                <c:pt idx="113">
                  <c:v>22.23</c:v>
                </c:pt>
                <c:pt idx="114">
                  <c:v>22.425000000000001</c:v>
                </c:pt>
                <c:pt idx="115">
                  <c:v>22.62</c:v>
                </c:pt>
                <c:pt idx="116">
                  <c:v>22.815000000000001</c:v>
                </c:pt>
                <c:pt idx="117">
                  <c:v>23.01</c:v>
                </c:pt>
                <c:pt idx="118">
                  <c:v>23.205000000000002</c:v>
                </c:pt>
                <c:pt idx="119">
                  <c:v>23.400000000000002</c:v>
                </c:pt>
                <c:pt idx="120">
                  <c:v>23.595000000000002</c:v>
                </c:pt>
                <c:pt idx="121">
                  <c:v>23.79</c:v>
                </c:pt>
                <c:pt idx="122">
                  <c:v>23.984999999999999</c:v>
                </c:pt>
                <c:pt idx="123">
                  <c:v>24.18</c:v>
                </c:pt>
                <c:pt idx="124">
                  <c:v>24.375</c:v>
                </c:pt>
                <c:pt idx="125">
                  <c:v>24.57</c:v>
                </c:pt>
                <c:pt idx="126">
                  <c:v>24.765000000000001</c:v>
                </c:pt>
                <c:pt idx="127">
                  <c:v>24.96</c:v>
                </c:pt>
                <c:pt idx="128">
                  <c:v>25.155000000000001</c:v>
                </c:pt>
                <c:pt idx="129">
                  <c:v>25.35</c:v>
                </c:pt>
                <c:pt idx="130">
                  <c:v>25.545000000000002</c:v>
                </c:pt>
                <c:pt idx="131">
                  <c:v>25.740000000000002</c:v>
                </c:pt>
                <c:pt idx="132">
                  <c:v>25.935000000000002</c:v>
                </c:pt>
                <c:pt idx="133">
                  <c:v>26.130000000000003</c:v>
                </c:pt>
                <c:pt idx="134">
                  <c:v>26.324999999999999</c:v>
                </c:pt>
                <c:pt idx="135">
                  <c:v>26.52</c:v>
                </c:pt>
                <c:pt idx="136">
                  <c:v>26.715</c:v>
                </c:pt>
                <c:pt idx="137">
                  <c:v>26.91</c:v>
                </c:pt>
                <c:pt idx="138">
                  <c:v>27.105</c:v>
                </c:pt>
                <c:pt idx="139">
                  <c:v>27.3</c:v>
                </c:pt>
                <c:pt idx="140">
                  <c:v>27.495000000000001</c:v>
                </c:pt>
                <c:pt idx="141">
                  <c:v>27.69</c:v>
                </c:pt>
                <c:pt idx="142">
                  <c:v>27.885000000000002</c:v>
                </c:pt>
                <c:pt idx="143">
                  <c:v>28.080000000000002</c:v>
                </c:pt>
                <c:pt idx="144">
                  <c:v>28.275000000000002</c:v>
                </c:pt>
                <c:pt idx="145">
                  <c:v>28.470000000000002</c:v>
                </c:pt>
                <c:pt idx="146">
                  <c:v>28.665000000000003</c:v>
                </c:pt>
                <c:pt idx="147">
                  <c:v>28.86</c:v>
                </c:pt>
                <c:pt idx="148">
                  <c:v>29.055</c:v>
                </c:pt>
                <c:pt idx="149">
                  <c:v>29.25</c:v>
                </c:pt>
                <c:pt idx="150">
                  <c:v>29.445</c:v>
                </c:pt>
                <c:pt idx="151">
                  <c:v>29.64</c:v>
                </c:pt>
                <c:pt idx="152">
                  <c:v>29.835000000000001</c:v>
                </c:pt>
                <c:pt idx="153">
                  <c:v>30.03</c:v>
                </c:pt>
                <c:pt idx="154">
                  <c:v>30.225000000000001</c:v>
                </c:pt>
                <c:pt idx="155">
                  <c:v>30.42</c:v>
                </c:pt>
                <c:pt idx="156">
                  <c:v>30.615000000000002</c:v>
                </c:pt>
                <c:pt idx="157">
                  <c:v>30.810000000000002</c:v>
                </c:pt>
                <c:pt idx="158">
                  <c:v>31.005000000000003</c:v>
                </c:pt>
                <c:pt idx="159">
                  <c:v>31.200000000000003</c:v>
                </c:pt>
                <c:pt idx="160">
                  <c:v>31.395</c:v>
                </c:pt>
                <c:pt idx="161">
                  <c:v>31.59</c:v>
                </c:pt>
                <c:pt idx="162">
                  <c:v>31.785</c:v>
                </c:pt>
                <c:pt idx="163">
                  <c:v>31.98</c:v>
                </c:pt>
                <c:pt idx="164">
                  <c:v>32.175000000000004</c:v>
                </c:pt>
                <c:pt idx="165">
                  <c:v>32.370000000000005</c:v>
                </c:pt>
                <c:pt idx="166">
                  <c:v>32.564999999999998</c:v>
                </c:pt>
                <c:pt idx="167">
                  <c:v>32.76</c:v>
                </c:pt>
                <c:pt idx="168">
                  <c:v>32.954999999999998</c:v>
                </c:pt>
                <c:pt idx="169">
                  <c:v>33.15</c:v>
                </c:pt>
                <c:pt idx="170">
                  <c:v>33.344999999999999</c:v>
                </c:pt>
                <c:pt idx="171">
                  <c:v>33.54</c:v>
                </c:pt>
                <c:pt idx="172">
                  <c:v>33.734999999999999</c:v>
                </c:pt>
                <c:pt idx="173">
                  <c:v>33.93</c:v>
                </c:pt>
                <c:pt idx="174">
                  <c:v>34.125</c:v>
                </c:pt>
                <c:pt idx="175">
                  <c:v>34.32</c:v>
                </c:pt>
                <c:pt idx="176">
                  <c:v>34.515000000000001</c:v>
                </c:pt>
                <c:pt idx="177">
                  <c:v>34.71</c:v>
                </c:pt>
                <c:pt idx="178">
                  <c:v>34.905000000000001</c:v>
                </c:pt>
                <c:pt idx="179">
                  <c:v>35.1</c:v>
                </c:pt>
                <c:pt idx="180">
                  <c:v>35.295000000000002</c:v>
                </c:pt>
                <c:pt idx="181">
                  <c:v>35.49</c:v>
                </c:pt>
                <c:pt idx="182">
                  <c:v>35.685000000000002</c:v>
                </c:pt>
                <c:pt idx="183">
                  <c:v>35.880000000000003</c:v>
                </c:pt>
                <c:pt idx="184">
                  <c:v>36.075000000000003</c:v>
                </c:pt>
                <c:pt idx="185">
                  <c:v>36.270000000000003</c:v>
                </c:pt>
                <c:pt idx="186">
                  <c:v>36.465000000000003</c:v>
                </c:pt>
                <c:pt idx="187">
                  <c:v>36.660000000000004</c:v>
                </c:pt>
                <c:pt idx="188">
                  <c:v>36.855000000000004</c:v>
                </c:pt>
                <c:pt idx="189">
                  <c:v>37.050000000000004</c:v>
                </c:pt>
                <c:pt idx="190">
                  <c:v>37.245000000000005</c:v>
                </c:pt>
                <c:pt idx="191">
                  <c:v>37.44</c:v>
                </c:pt>
                <c:pt idx="192">
                  <c:v>37.634999999999998</c:v>
                </c:pt>
                <c:pt idx="193">
                  <c:v>37.83</c:v>
                </c:pt>
                <c:pt idx="194">
                  <c:v>38.024999999999999</c:v>
                </c:pt>
                <c:pt idx="195">
                  <c:v>38.22</c:v>
                </c:pt>
                <c:pt idx="196">
                  <c:v>38.414999999999999</c:v>
                </c:pt>
                <c:pt idx="197">
                  <c:v>38.61</c:v>
                </c:pt>
                <c:pt idx="198">
                  <c:v>38.805</c:v>
                </c:pt>
                <c:pt idx="199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97-46C0-8A84-51BA01AE7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554832"/>
        <c:axId val="1443555248"/>
      </c:scatterChart>
      <c:valAx>
        <c:axId val="144355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55248"/>
        <c:crosses val="autoZero"/>
        <c:crossBetween val="midCat"/>
      </c:valAx>
      <c:valAx>
        <c:axId val="1443555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54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(validation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LR_ValidationLiftChart!$BE$4:$BE$13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LR_ValidationLiftChart!$BF$4:$BF$13</c:f>
              <c:numCache>
                <c:formatCode>General</c:formatCode>
                <c:ptCount val="10"/>
                <c:pt idx="0">
                  <c:v>1.0256410256410255</c:v>
                </c:pt>
                <c:pt idx="1">
                  <c:v>0.76923076923076916</c:v>
                </c:pt>
                <c:pt idx="2">
                  <c:v>1.5384615384615383</c:v>
                </c:pt>
                <c:pt idx="3">
                  <c:v>1.0256410256410255</c:v>
                </c:pt>
                <c:pt idx="4">
                  <c:v>2.3076923076923075</c:v>
                </c:pt>
                <c:pt idx="5">
                  <c:v>1.7948717948717947</c:v>
                </c:pt>
                <c:pt idx="6">
                  <c:v>0.51282051282051277</c:v>
                </c:pt>
                <c:pt idx="7">
                  <c:v>0.51282051282051277</c:v>
                </c:pt>
                <c:pt idx="8">
                  <c:v>0.51282051282051277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E7-400E-A989-C669E917B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3556496"/>
        <c:axId val="1443545680"/>
      </c:barChart>
      <c:catAx>
        <c:axId val="144355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45680"/>
        <c:crosses val="autoZero"/>
        <c:auto val="1"/>
        <c:lblAlgn val="ctr"/>
        <c:lblOffset val="100"/>
        <c:noMultiLvlLbl val="0"/>
      </c:catAx>
      <c:valAx>
        <c:axId val="1443545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56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0.608377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LR_ValidationLiftChart!$BZ$2:$BZ$134</c:f>
              <c:numCache>
                <c:formatCode>General</c:formatCode>
                <c:ptCount val="133"/>
                <c:pt idx="0">
                  <c:v>0</c:v>
                </c:pt>
                <c:pt idx="1">
                  <c:v>6.2111801242236021E-3</c:v>
                </c:pt>
                <c:pt idx="2">
                  <c:v>1.2422360248447204E-2</c:v>
                </c:pt>
                <c:pt idx="3">
                  <c:v>1.8633540372670808E-2</c:v>
                </c:pt>
                <c:pt idx="4">
                  <c:v>3.1055900621118012E-2</c:v>
                </c:pt>
                <c:pt idx="5">
                  <c:v>3.7267080745341616E-2</c:v>
                </c:pt>
                <c:pt idx="6">
                  <c:v>4.3478260869565216E-2</c:v>
                </c:pt>
                <c:pt idx="7">
                  <c:v>4.9689440993788817E-2</c:v>
                </c:pt>
                <c:pt idx="8">
                  <c:v>5.5900621118012424E-2</c:v>
                </c:pt>
                <c:pt idx="9">
                  <c:v>6.2111801242236024E-2</c:v>
                </c:pt>
                <c:pt idx="10">
                  <c:v>8.0745341614906832E-2</c:v>
                </c:pt>
                <c:pt idx="11">
                  <c:v>9.3167701863354033E-2</c:v>
                </c:pt>
                <c:pt idx="12">
                  <c:v>9.3167701863354033E-2</c:v>
                </c:pt>
                <c:pt idx="13">
                  <c:v>9.3167701863354033E-2</c:v>
                </c:pt>
                <c:pt idx="14">
                  <c:v>9.3167701863354033E-2</c:v>
                </c:pt>
                <c:pt idx="15">
                  <c:v>9.9378881987577633E-2</c:v>
                </c:pt>
                <c:pt idx="16">
                  <c:v>9.9378881987577633E-2</c:v>
                </c:pt>
                <c:pt idx="17">
                  <c:v>0.10559006211180125</c:v>
                </c:pt>
                <c:pt idx="18">
                  <c:v>0.11180124223602485</c:v>
                </c:pt>
                <c:pt idx="19">
                  <c:v>0.11801242236024845</c:v>
                </c:pt>
                <c:pt idx="20">
                  <c:v>0.13664596273291926</c:v>
                </c:pt>
                <c:pt idx="21">
                  <c:v>0.14285714285714285</c:v>
                </c:pt>
                <c:pt idx="22">
                  <c:v>0.14285714285714285</c:v>
                </c:pt>
                <c:pt idx="23">
                  <c:v>0.14906832298136646</c:v>
                </c:pt>
                <c:pt idx="24">
                  <c:v>0.18012422360248448</c:v>
                </c:pt>
                <c:pt idx="25">
                  <c:v>0.19875776397515527</c:v>
                </c:pt>
                <c:pt idx="26">
                  <c:v>0.19875776397515527</c:v>
                </c:pt>
                <c:pt idx="27">
                  <c:v>0.21118012422360249</c:v>
                </c:pt>
                <c:pt idx="28">
                  <c:v>0.21739130434782608</c:v>
                </c:pt>
                <c:pt idx="29">
                  <c:v>0.2236024844720497</c:v>
                </c:pt>
                <c:pt idx="30">
                  <c:v>0.2236024844720497</c:v>
                </c:pt>
                <c:pt idx="31">
                  <c:v>0.22981366459627328</c:v>
                </c:pt>
                <c:pt idx="32">
                  <c:v>0.2360248447204969</c:v>
                </c:pt>
                <c:pt idx="33">
                  <c:v>0.2484472049689441</c:v>
                </c:pt>
                <c:pt idx="34">
                  <c:v>0.25465838509316768</c:v>
                </c:pt>
                <c:pt idx="35">
                  <c:v>0.25465838509316768</c:v>
                </c:pt>
                <c:pt idx="36">
                  <c:v>0.2608695652173913</c:v>
                </c:pt>
                <c:pt idx="37">
                  <c:v>0.27329192546583853</c:v>
                </c:pt>
                <c:pt idx="38">
                  <c:v>0.27329192546583853</c:v>
                </c:pt>
                <c:pt idx="39">
                  <c:v>0.27950310559006208</c:v>
                </c:pt>
                <c:pt idx="40">
                  <c:v>0.2857142857142857</c:v>
                </c:pt>
                <c:pt idx="41">
                  <c:v>0.29192546583850931</c:v>
                </c:pt>
                <c:pt idx="42">
                  <c:v>0.29192546583850931</c:v>
                </c:pt>
                <c:pt idx="43">
                  <c:v>0.29192546583850931</c:v>
                </c:pt>
                <c:pt idx="44">
                  <c:v>0.3105590062111801</c:v>
                </c:pt>
                <c:pt idx="45">
                  <c:v>0.33540372670807456</c:v>
                </c:pt>
                <c:pt idx="46">
                  <c:v>0.34161490683229812</c:v>
                </c:pt>
                <c:pt idx="47">
                  <c:v>0.34782608695652173</c:v>
                </c:pt>
                <c:pt idx="48">
                  <c:v>0.36024844720496896</c:v>
                </c:pt>
                <c:pt idx="49">
                  <c:v>0.37267080745341613</c:v>
                </c:pt>
                <c:pt idx="50">
                  <c:v>0.37267080745341613</c:v>
                </c:pt>
                <c:pt idx="51">
                  <c:v>0.38509316770186336</c:v>
                </c:pt>
                <c:pt idx="52">
                  <c:v>0.39130434782608697</c:v>
                </c:pt>
                <c:pt idx="53">
                  <c:v>0.39130434782608697</c:v>
                </c:pt>
                <c:pt idx="54">
                  <c:v>0.39130434782608697</c:v>
                </c:pt>
                <c:pt idx="55">
                  <c:v>0.39751552795031053</c:v>
                </c:pt>
                <c:pt idx="56">
                  <c:v>0.40372670807453415</c:v>
                </c:pt>
                <c:pt idx="57">
                  <c:v>0.40372670807453415</c:v>
                </c:pt>
                <c:pt idx="58">
                  <c:v>0.42236024844720499</c:v>
                </c:pt>
                <c:pt idx="59">
                  <c:v>0.42857142857142855</c:v>
                </c:pt>
                <c:pt idx="60">
                  <c:v>0.43478260869565216</c:v>
                </c:pt>
                <c:pt idx="61">
                  <c:v>0.44099378881987578</c:v>
                </c:pt>
                <c:pt idx="62">
                  <c:v>0.44720496894409939</c:v>
                </c:pt>
                <c:pt idx="63">
                  <c:v>0.453416149068323</c:v>
                </c:pt>
                <c:pt idx="64">
                  <c:v>0.45962732919254656</c:v>
                </c:pt>
                <c:pt idx="65">
                  <c:v>0.45962732919254656</c:v>
                </c:pt>
                <c:pt idx="66">
                  <c:v>0.45962732919254656</c:v>
                </c:pt>
                <c:pt idx="67">
                  <c:v>0.47204968944099379</c:v>
                </c:pt>
                <c:pt idx="68">
                  <c:v>0.47826086956521741</c:v>
                </c:pt>
                <c:pt idx="69">
                  <c:v>0.48447204968944102</c:v>
                </c:pt>
                <c:pt idx="70">
                  <c:v>0.50931677018633537</c:v>
                </c:pt>
                <c:pt idx="71">
                  <c:v>0.50931677018633537</c:v>
                </c:pt>
                <c:pt idx="72">
                  <c:v>0.52173913043478259</c:v>
                </c:pt>
                <c:pt idx="73">
                  <c:v>0.52173913043478259</c:v>
                </c:pt>
                <c:pt idx="74">
                  <c:v>0.52795031055900621</c:v>
                </c:pt>
                <c:pt idx="75">
                  <c:v>0.53416149068322982</c:v>
                </c:pt>
                <c:pt idx="76">
                  <c:v>0.53416149068322982</c:v>
                </c:pt>
                <c:pt idx="77">
                  <c:v>0.53416149068322982</c:v>
                </c:pt>
                <c:pt idx="78">
                  <c:v>0.54037267080745344</c:v>
                </c:pt>
                <c:pt idx="79">
                  <c:v>0.54658385093167705</c:v>
                </c:pt>
                <c:pt idx="80">
                  <c:v>0.56521739130434778</c:v>
                </c:pt>
                <c:pt idx="81">
                  <c:v>0.5714285714285714</c:v>
                </c:pt>
                <c:pt idx="82">
                  <c:v>0.58385093167701863</c:v>
                </c:pt>
                <c:pt idx="83">
                  <c:v>0.60248447204968947</c:v>
                </c:pt>
                <c:pt idx="84">
                  <c:v>0.6149068322981367</c:v>
                </c:pt>
                <c:pt idx="85">
                  <c:v>0.62732919254658381</c:v>
                </c:pt>
                <c:pt idx="86">
                  <c:v>0.63975155279503104</c:v>
                </c:pt>
                <c:pt idx="87">
                  <c:v>0.65217391304347827</c:v>
                </c:pt>
                <c:pt idx="88">
                  <c:v>0.65838509316770188</c:v>
                </c:pt>
                <c:pt idx="89">
                  <c:v>0.6645962732919255</c:v>
                </c:pt>
                <c:pt idx="90">
                  <c:v>0.67701863354037262</c:v>
                </c:pt>
                <c:pt idx="91">
                  <c:v>0.68322981366459623</c:v>
                </c:pt>
                <c:pt idx="92">
                  <c:v>0.68944099378881984</c:v>
                </c:pt>
                <c:pt idx="93">
                  <c:v>0.69565217391304346</c:v>
                </c:pt>
                <c:pt idx="94">
                  <c:v>0.69565217391304346</c:v>
                </c:pt>
                <c:pt idx="95">
                  <c:v>0.70186335403726707</c:v>
                </c:pt>
                <c:pt idx="96">
                  <c:v>0.70807453416149069</c:v>
                </c:pt>
                <c:pt idx="97">
                  <c:v>0.72670807453416153</c:v>
                </c:pt>
                <c:pt idx="98">
                  <c:v>0.74534161490683226</c:v>
                </c:pt>
                <c:pt idx="99">
                  <c:v>0.75155279503105588</c:v>
                </c:pt>
                <c:pt idx="100">
                  <c:v>0.7639751552795031</c:v>
                </c:pt>
                <c:pt idx="101">
                  <c:v>0.7639751552795031</c:v>
                </c:pt>
                <c:pt idx="102">
                  <c:v>0.77018633540372672</c:v>
                </c:pt>
                <c:pt idx="103">
                  <c:v>0.78260869565217395</c:v>
                </c:pt>
                <c:pt idx="104">
                  <c:v>0.78881987577639756</c:v>
                </c:pt>
                <c:pt idx="105">
                  <c:v>0.79503105590062106</c:v>
                </c:pt>
                <c:pt idx="106">
                  <c:v>0.80124223602484468</c:v>
                </c:pt>
                <c:pt idx="107">
                  <c:v>0.80745341614906829</c:v>
                </c:pt>
                <c:pt idx="108">
                  <c:v>0.81366459627329191</c:v>
                </c:pt>
                <c:pt idx="109">
                  <c:v>0.81987577639751552</c:v>
                </c:pt>
                <c:pt idx="110">
                  <c:v>0.82608695652173914</c:v>
                </c:pt>
                <c:pt idx="111">
                  <c:v>0.83229813664596275</c:v>
                </c:pt>
                <c:pt idx="112">
                  <c:v>0.83850931677018636</c:v>
                </c:pt>
                <c:pt idx="113">
                  <c:v>0.84472049689440998</c:v>
                </c:pt>
                <c:pt idx="114">
                  <c:v>0.8571428571428571</c:v>
                </c:pt>
                <c:pt idx="115">
                  <c:v>0.86956521739130432</c:v>
                </c:pt>
                <c:pt idx="116">
                  <c:v>0.87577639751552794</c:v>
                </c:pt>
                <c:pt idx="117">
                  <c:v>0.88819875776397517</c:v>
                </c:pt>
                <c:pt idx="118">
                  <c:v>0.89440993788819878</c:v>
                </c:pt>
                <c:pt idx="119">
                  <c:v>0.90683229813664601</c:v>
                </c:pt>
                <c:pt idx="120">
                  <c:v>0.91304347826086951</c:v>
                </c:pt>
                <c:pt idx="121">
                  <c:v>0.92546583850931674</c:v>
                </c:pt>
                <c:pt idx="122">
                  <c:v>0.93167701863354035</c:v>
                </c:pt>
                <c:pt idx="123">
                  <c:v>0.93788819875776397</c:v>
                </c:pt>
                <c:pt idx="124">
                  <c:v>0.94409937888198758</c:v>
                </c:pt>
                <c:pt idx="125">
                  <c:v>0.9503105590062112</c:v>
                </c:pt>
                <c:pt idx="126">
                  <c:v>0.95652173913043481</c:v>
                </c:pt>
                <c:pt idx="127">
                  <c:v>0.96273291925465843</c:v>
                </c:pt>
                <c:pt idx="128">
                  <c:v>0.96894409937888204</c:v>
                </c:pt>
                <c:pt idx="129">
                  <c:v>0.97515527950310554</c:v>
                </c:pt>
                <c:pt idx="130">
                  <c:v>0.98136645962732916</c:v>
                </c:pt>
                <c:pt idx="131">
                  <c:v>0.98757763975155277</c:v>
                </c:pt>
                <c:pt idx="132">
                  <c:v>1</c:v>
                </c:pt>
              </c:numCache>
            </c:numRef>
          </c:xVal>
          <c:yVal>
            <c:numRef>
              <c:f>LR_ValidationLiftChart!$CA$2:$CA$134</c:f>
              <c:numCache>
                <c:formatCode>General</c:formatCode>
                <c:ptCount val="1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2.564102564102564E-2</c:v>
                </c:pt>
                <c:pt idx="11">
                  <c:v>2.564102564102564E-2</c:v>
                </c:pt>
                <c:pt idx="12">
                  <c:v>5.128205128205128E-2</c:v>
                </c:pt>
                <c:pt idx="13">
                  <c:v>7.6923076923076927E-2</c:v>
                </c:pt>
                <c:pt idx="14">
                  <c:v>0.10256410256410256</c:v>
                </c:pt>
                <c:pt idx="15">
                  <c:v>0.10256410256410256</c:v>
                </c:pt>
                <c:pt idx="16">
                  <c:v>0.12820512820512819</c:v>
                </c:pt>
                <c:pt idx="17">
                  <c:v>0.12820512820512819</c:v>
                </c:pt>
                <c:pt idx="18">
                  <c:v>0.12820512820512819</c:v>
                </c:pt>
                <c:pt idx="19">
                  <c:v>0.12820512820512819</c:v>
                </c:pt>
                <c:pt idx="20">
                  <c:v>0.12820512820512819</c:v>
                </c:pt>
                <c:pt idx="21">
                  <c:v>0.12820512820512819</c:v>
                </c:pt>
                <c:pt idx="22">
                  <c:v>0.15384615384615385</c:v>
                </c:pt>
                <c:pt idx="23">
                  <c:v>0.15384615384615385</c:v>
                </c:pt>
                <c:pt idx="24">
                  <c:v>0.15384615384615385</c:v>
                </c:pt>
                <c:pt idx="25">
                  <c:v>0.15384615384615385</c:v>
                </c:pt>
                <c:pt idx="26">
                  <c:v>0.17948717948717949</c:v>
                </c:pt>
                <c:pt idx="27">
                  <c:v>0.17948717948717949</c:v>
                </c:pt>
                <c:pt idx="28">
                  <c:v>0.17948717948717949</c:v>
                </c:pt>
                <c:pt idx="29">
                  <c:v>0.20512820512820512</c:v>
                </c:pt>
                <c:pt idx="30">
                  <c:v>0.23076923076923078</c:v>
                </c:pt>
                <c:pt idx="31">
                  <c:v>0.23076923076923078</c:v>
                </c:pt>
                <c:pt idx="32">
                  <c:v>0.23076923076923078</c:v>
                </c:pt>
                <c:pt idx="33">
                  <c:v>0.23076923076923078</c:v>
                </c:pt>
                <c:pt idx="34">
                  <c:v>0.23076923076923078</c:v>
                </c:pt>
                <c:pt idx="35">
                  <c:v>0.28205128205128205</c:v>
                </c:pt>
                <c:pt idx="36">
                  <c:v>0.28205128205128205</c:v>
                </c:pt>
                <c:pt idx="37">
                  <c:v>0.28205128205128205</c:v>
                </c:pt>
                <c:pt idx="38">
                  <c:v>0.30769230769230771</c:v>
                </c:pt>
                <c:pt idx="39">
                  <c:v>0.30769230769230771</c:v>
                </c:pt>
                <c:pt idx="40">
                  <c:v>0.30769230769230771</c:v>
                </c:pt>
                <c:pt idx="41">
                  <c:v>0.30769230769230771</c:v>
                </c:pt>
                <c:pt idx="42">
                  <c:v>0.33333333333333331</c:v>
                </c:pt>
                <c:pt idx="43">
                  <c:v>0.35897435897435898</c:v>
                </c:pt>
                <c:pt idx="44">
                  <c:v>0.38461538461538464</c:v>
                </c:pt>
                <c:pt idx="45">
                  <c:v>0.38461538461538464</c:v>
                </c:pt>
                <c:pt idx="46">
                  <c:v>0.38461538461538464</c:v>
                </c:pt>
                <c:pt idx="47">
                  <c:v>0.41025641025641024</c:v>
                </c:pt>
                <c:pt idx="48">
                  <c:v>0.41025641025641024</c:v>
                </c:pt>
                <c:pt idx="49">
                  <c:v>0.41025641025641024</c:v>
                </c:pt>
                <c:pt idx="50">
                  <c:v>0.4358974358974359</c:v>
                </c:pt>
                <c:pt idx="51">
                  <c:v>0.4358974358974359</c:v>
                </c:pt>
                <c:pt idx="52">
                  <c:v>0.4358974358974359</c:v>
                </c:pt>
                <c:pt idx="53">
                  <c:v>0.46153846153846156</c:v>
                </c:pt>
                <c:pt idx="54">
                  <c:v>0.48717948717948717</c:v>
                </c:pt>
                <c:pt idx="55">
                  <c:v>0.51282051282051277</c:v>
                </c:pt>
                <c:pt idx="56">
                  <c:v>0.51282051282051277</c:v>
                </c:pt>
                <c:pt idx="57">
                  <c:v>0.53846153846153844</c:v>
                </c:pt>
                <c:pt idx="58">
                  <c:v>0.53846153846153844</c:v>
                </c:pt>
                <c:pt idx="59">
                  <c:v>0.53846153846153844</c:v>
                </c:pt>
                <c:pt idx="60">
                  <c:v>0.58974358974358976</c:v>
                </c:pt>
                <c:pt idx="61">
                  <c:v>0.58974358974358976</c:v>
                </c:pt>
                <c:pt idx="62">
                  <c:v>0.61538461538461542</c:v>
                </c:pt>
                <c:pt idx="63">
                  <c:v>0.61538461538461542</c:v>
                </c:pt>
                <c:pt idx="64">
                  <c:v>0.64102564102564108</c:v>
                </c:pt>
                <c:pt idx="65">
                  <c:v>0.66666666666666663</c:v>
                </c:pt>
                <c:pt idx="66">
                  <c:v>0.69230769230769229</c:v>
                </c:pt>
                <c:pt idx="67">
                  <c:v>0.71794871794871795</c:v>
                </c:pt>
                <c:pt idx="68">
                  <c:v>0.71794871794871795</c:v>
                </c:pt>
                <c:pt idx="69">
                  <c:v>0.71794871794871795</c:v>
                </c:pt>
                <c:pt idx="70">
                  <c:v>0.71794871794871795</c:v>
                </c:pt>
                <c:pt idx="71">
                  <c:v>0.74358974358974361</c:v>
                </c:pt>
                <c:pt idx="72">
                  <c:v>0.74358974358974361</c:v>
                </c:pt>
                <c:pt idx="73">
                  <c:v>0.76923076923076927</c:v>
                </c:pt>
                <c:pt idx="74">
                  <c:v>0.76923076923076927</c:v>
                </c:pt>
                <c:pt idx="75">
                  <c:v>0.76923076923076927</c:v>
                </c:pt>
                <c:pt idx="76">
                  <c:v>0.79487179487179482</c:v>
                </c:pt>
                <c:pt idx="77">
                  <c:v>0.82051282051282048</c:v>
                </c:pt>
                <c:pt idx="78">
                  <c:v>0.82051282051282048</c:v>
                </c:pt>
                <c:pt idx="79">
                  <c:v>0.84615384615384615</c:v>
                </c:pt>
                <c:pt idx="80">
                  <c:v>0.84615384615384615</c:v>
                </c:pt>
                <c:pt idx="81">
                  <c:v>0.84615384615384615</c:v>
                </c:pt>
                <c:pt idx="82">
                  <c:v>0.87179487179487181</c:v>
                </c:pt>
                <c:pt idx="83">
                  <c:v>0.87179487179487181</c:v>
                </c:pt>
                <c:pt idx="84">
                  <c:v>0.87179487179487181</c:v>
                </c:pt>
                <c:pt idx="85">
                  <c:v>0.87179487179487181</c:v>
                </c:pt>
                <c:pt idx="86">
                  <c:v>0.89743589743589747</c:v>
                </c:pt>
                <c:pt idx="87">
                  <c:v>0.89743589743589747</c:v>
                </c:pt>
                <c:pt idx="88">
                  <c:v>0.89743589743589747</c:v>
                </c:pt>
                <c:pt idx="89">
                  <c:v>0.89743589743589747</c:v>
                </c:pt>
                <c:pt idx="90">
                  <c:v>0.89743589743589747</c:v>
                </c:pt>
                <c:pt idx="91">
                  <c:v>0.89743589743589747</c:v>
                </c:pt>
                <c:pt idx="92">
                  <c:v>0.89743589743589747</c:v>
                </c:pt>
                <c:pt idx="93">
                  <c:v>0.89743589743589747</c:v>
                </c:pt>
                <c:pt idx="94">
                  <c:v>0.92307692307692313</c:v>
                </c:pt>
                <c:pt idx="95">
                  <c:v>0.92307692307692313</c:v>
                </c:pt>
                <c:pt idx="96">
                  <c:v>0.92307692307692313</c:v>
                </c:pt>
                <c:pt idx="97">
                  <c:v>0.92307692307692313</c:v>
                </c:pt>
                <c:pt idx="98">
                  <c:v>0.92307692307692313</c:v>
                </c:pt>
                <c:pt idx="99">
                  <c:v>0.92307692307692313</c:v>
                </c:pt>
                <c:pt idx="100">
                  <c:v>0.92307692307692313</c:v>
                </c:pt>
                <c:pt idx="101">
                  <c:v>0.94871794871794868</c:v>
                </c:pt>
                <c:pt idx="102">
                  <c:v>0.97435897435897434</c:v>
                </c:pt>
                <c:pt idx="103">
                  <c:v>0.97435897435897434</c:v>
                </c:pt>
                <c:pt idx="104">
                  <c:v>0.97435897435897434</c:v>
                </c:pt>
                <c:pt idx="105">
                  <c:v>0.97435897435897434</c:v>
                </c:pt>
                <c:pt idx="106">
                  <c:v>0.97435897435897434</c:v>
                </c:pt>
                <c:pt idx="107">
                  <c:v>0.97435897435897434</c:v>
                </c:pt>
                <c:pt idx="108">
                  <c:v>0.97435897435897434</c:v>
                </c:pt>
                <c:pt idx="109">
                  <c:v>0.97435897435897434</c:v>
                </c:pt>
                <c:pt idx="110">
                  <c:v>0.97435897435897434</c:v>
                </c:pt>
                <c:pt idx="111">
                  <c:v>0.97435897435897434</c:v>
                </c:pt>
                <c:pt idx="112">
                  <c:v>0.97435897435897434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68-4CC3-B95B-1EB733925F46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LR_ValidationLiftChart!$BZ$2:$BZ$134</c:f>
              <c:numCache>
                <c:formatCode>General</c:formatCode>
                <c:ptCount val="133"/>
                <c:pt idx="0">
                  <c:v>0</c:v>
                </c:pt>
                <c:pt idx="1">
                  <c:v>6.2111801242236021E-3</c:v>
                </c:pt>
                <c:pt idx="2">
                  <c:v>1.2422360248447204E-2</c:v>
                </c:pt>
                <c:pt idx="3">
                  <c:v>1.8633540372670808E-2</c:v>
                </c:pt>
                <c:pt idx="4">
                  <c:v>3.1055900621118012E-2</c:v>
                </c:pt>
                <c:pt idx="5">
                  <c:v>3.7267080745341616E-2</c:v>
                </c:pt>
                <c:pt idx="6">
                  <c:v>4.3478260869565216E-2</c:v>
                </c:pt>
                <c:pt idx="7">
                  <c:v>4.9689440993788817E-2</c:v>
                </c:pt>
                <c:pt idx="8">
                  <c:v>5.5900621118012424E-2</c:v>
                </c:pt>
                <c:pt idx="9">
                  <c:v>6.2111801242236024E-2</c:v>
                </c:pt>
                <c:pt idx="10">
                  <c:v>8.0745341614906832E-2</c:v>
                </c:pt>
                <c:pt idx="11">
                  <c:v>9.3167701863354033E-2</c:v>
                </c:pt>
                <c:pt idx="12">
                  <c:v>9.3167701863354033E-2</c:v>
                </c:pt>
                <c:pt idx="13">
                  <c:v>9.3167701863354033E-2</c:v>
                </c:pt>
                <c:pt idx="14">
                  <c:v>9.3167701863354033E-2</c:v>
                </c:pt>
                <c:pt idx="15">
                  <c:v>9.9378881987577633E-2</c:v>
                </c:pt>
                <c:pt idx="16">
                  <c:v>9.9378881987577633E-2</c:v>
                </c:pt>
                <c:pt idx="17">
                  <c:v>0.10559006211180125</c:v>
                </c:pt>
                <c:pt idx="18">
                  <c:v>0.11180124223602485</c:v>
                </c:pt>
                <c:pt idx="19">
                  <c:v>0.11801242236024845</c:v>
                </c:pt>
                <c:pt idx="20">
                  <c:v>0.13664596273291926</c:v>
                </c:pt>
                <c:pt idx="21">
                  <c:v>0.14285714285714285</c:v>
                </c:pt>
                <c:pt idx="22">
                  <c:v>0.14285714285714285</c:v>
                </c:pt>
                <c:pt idx="23">
                  <c:v>0.14906832298136646</c:v>
                </c:pt>
                <c:pt idx="24">
                  <c:v>0.18012422360248448</c:v>
                </c:pt>
                <c:pt idx="25">
                  <c:v>0.19875776397515527</c:v>
                </c:pt>
                <c:pt idx="26">
                  <c:v>0.19875776397515527</c:v>
                </c:pt>
                <c:pt idx="27">
                  <c:v>0.21118012422360249</c:v>
                </c:pt>
                <c:pt idx="28">
                  <c:v>0.21739130434782608</c:v>
                </c:pt>
                <c:pt idx="29">
                  <c:v>0.2236024844720497</c:v>
                </c:pt>
                <c:pt idx="30">
                  <c:v>0.2236024844720497</c:v>
                </c:pt>
                <c:pt idx="31">
                  <c:v>0.22981366459627328</c:v>
                </c:pt>
                <c:pt idx="32">
                  <c:v>0.2360248447204969</c:v>
                </c:pt>
                <c:pt idx="33">
                  <c:v>0.2484472049689441</c:v>
                </c:pt>
                <c:pt idx="34">
                  <c:v>0.25465838509316768</c:v>
                </c:pt>
                <c:pt idx="35">
                  <c:v>0.25465838509316768</c:v>
                </c:pt>
                <c:pt idx="36">
                  <c:v>0.2608695652173913</c:v>
                </c:pt>
                <c:pt idx="37">
                  <c:v>0.27329192546583853</c:v>
                </c:pt>
                <c:pt idx="38">
                  <c:v>0.27329192546583853</c:v>
                </c:pt>
                <c:pt idx="39">
                  <c:v>0.27950310559006208</c:v>
                </c:pt>
                <c:pt idx="40">
                  <c:v>0.2857142857142857</c:v>
                </c:pt>
                <c:pt idx="41">
                  <c:v>0.29192546583850931</c:v>
                </c:pt>
                <c:pt idx="42">
                  <c:v>0.29192546583850931</c:v>
                </c:pt>
                <c:pt idx="43">
                  <c:v>0.29192546583850931</c:v>
                </c:pt>
                <c:pt idx="44">
                  <c:v>0.3105590062111801</c:v>
                </c:pt>
                <c:pt idx="45">
                  <c:v>0.33540372670807456</c:v>
                </c:pt>
                <c:pt idx="46">
                  <c:v>0.34161490683229812</c:v>
                </c:pt>
                <c:pt idx="47">
                  <c:v>0.34782608695652173</c:v>
                </c:pt>
                <c:pt idx="48">
                  <c:v>0.36024844720496896</c:v>
                </c:pt>
                <c:pt idx="49">
                  <c:v>0.37267080745341613</c:v>
                </c:pt>
                <c:pt idx="50">
                  <c:v>0.37267080745341613</c:v>
                </c:pt>
                <c:pt idx="51">
                  <c:v>0.38509316770186336</c:v>
                </c:pt>
                <c:pt idx="52">
                  <c:v>0.39130434782608697</c:v>
                </c:pt>
                <c:pt idx="53">
                  <c:v>0.39130434782608697</c:v>
                </c:pt>
                <c:pt idx="54">
                  <c:v>0.39130434782608697</c:v>
                </c:pt>
                <c:pt idx="55">
                  <c:v>0.39751552795031053</c:v>
                </c:pt>
                <c:pt idx="56">
                  <c:v>0.40372670807453415</c:v>
                </c:pt>
                <c:pt idx="57">
                  <c:v>0.40372670807453415</c:v>
                </c:pt>
                <c:pt idx="58">
                  <c:v>0.42236024844720499</c:v>
                </c:pt>
                <c:pt idx="59">
                  <c:v>0.42857142857142855</c:v>
                </c:pt>
                <c:pt idx="60">
                  <c:v>0.43478260869565216</c:v>
                </c:pt>
                <c:pt idx="61">
                  <c:v>0.44099378881987578</c:v>
                </c:pt>
                <c:pt idx="62">
                  <c:v>0.44720496894409939</c:v>
                </c:pt>
                <c:pt idx="63">
                  <c:v>0.453416149068323</c:v>
                </c:pt>
                <c:pt idx="64">
                  <c:v>0.45962732919254656</c:v>
                </c:pt>
                <c:pt idx="65">
                  <c:v>0.45962732919254656</c:v>
                </c:pt>
                <c:pt idx="66">
                  <c:v>0.45962732919254656</c:v>
                </c:pt>
                <c:pt idx="67">
                  <c:v>0.47204968944099379</c:v>
                </c:pt>
                <c:pt idx="68">
                  <c:v>0.47826086956521741</c:v>
                </c:pt>
                <c:pt idx="69">
                  <c:v>0.48447204968944102</c:v>
                </c:pt>
                <c:pt idx="70">
                  <c:v>0.50931677018633537</c:v>
                </c:pt>
                <c:pt idx="71">
                  <c:v>0.50931677018633537</c:v>
                </c:pt>
                <c:pt idx="72">
                  <c:v>0.52173913043478259</c:v>
                </c:pt>
                <c:pt idx="73">
                  <c:v>0.52173913043478259</c:v>
                </c:pt>
                <c:pt idx="74">
                  <c:v>0.52795031055900621</c:v>
                </c:pt>
                <c:pt idx="75">
                  <c:v>0.53416149068322982</c:v>
                </c:pt>
                <c:pt idx="76">
                  <c:v>0.53416149068322982</c:v>
                </c:pt>
                <c:pt idx="77">
                  <c:v>0.53416149068322982</c:v>
                </c:pt>
                <c:pt idx="78">
                  <c:v>0.54037267080745344</c:v>
                </c:pt>
                <c:pt idx="79">
                  <c:v>0.54658385093167705</c:v>
                </c:pt>
                <c:pt idx="80">
                  <c:v>0.56521739130434778</c:v>
                </c:pt>
                <c:pt idx="81">
                  <c:v>0.5714285714285714</c:v>
                </c:pt>
                <c:pt idx="82">
                  <c:v>0.58385093167701863</c:v>
                </c:pt>
                <c:pt idx="83">
                  <c:v>0.60248447204968947</c:v>
                </c:pt>
                <c:pt idx="84">
                  <c:v>0.6149068322981367</c:v>
                </c:pt>
                <c:pt idx="85">
                  <c:v>0.62732919254658381</c:v>
                </c:pt>
                <c:pt idx="86">
                  <c:v>0.63975155279503104</c:v>
                </c:pt>
                <c:pt idx="87">
                  <c:v>0.65217391304347827</c:v>
                </c:pt>
                <c:pt idx="88">
                  <c:v>0.65838509316770188</c:v>
                </c:pt>
                <c:pt idx="89">
                  <c:v>0.6645962732919255</c:v>
                </c:pt>
                <c:pt idx="90">
                  <c:v>0.67701863354037262</c:v>
                </c:pt>
                <c:pt idx="91">
                  <c:v>0.68322981366459623</c:v>
                </c:pt>
                <c:pt idx="92">
                  <c:v>0.68944099378881984</c:v>
                </c:pt>
                <c:pt idx="93">
                  <c:v>0.69565217391304346</c:v>
                </c:pt>
                <c:pt idx="94">
                  <c:v>0.69565217391304346</c:v>
                </c:pt>
                <c:pt idx="95">
                  <c:v>0.70186335403726707</c:v>
                </c:pt>
                <c:pt idx="96">
                  <c:v>0.70807453416149069</c:v>
                </c:pt>
                <c:pt idx="97">
                  <c:v>0.72670807453416153</c:v>
                </c:pt>
                <c:pt idx="98">
                  <c:v>0.74534161490683226</c:v>
                </c:pt>
                <c:pt idx="99">
                  <c:v>0.75155279503105588</c:v>
                </c:pt>
                <c:pt idx="100">
                  <c:v>0.7639751552795031</c:v>
                </c:pt>
                <c:pt idx="101">
                  <c:v>0.7639751552795031</c:v>
                </c:pt>
                <c:pt idx="102">
                  <c:v>0.77018633540372672</c:v>
                </c:pt>
                <c:pt idx="103">
                  <c:v>0.78260869565217395</c:v>
                </c:pt>
                <c:pt idx="104">
                  <c:v>0.78881987577639756</c:v>
                </c:pt>
                <c:pt idx="105">
                  <c:v>0.79503105590062106</c:v>
                </c:pt>
                <c:pt idx="106">
                  <c:v>0.80124223602484468</c:v>
                </c:pt>
                <c:pt idx="107">
                  <c:v>0.80745341614906829</c:v>
                </c:pt>
                <c:pt idx="108">
                  <c:v>0.81366459627329191</c:v>
                </c:pt>
                <c:pt idx="109">
                  <c:v>0.81987577639751552</c:v>
                </c:pt>
                <c:pt idx="110">
                  <c:v>0.82608695652173914</c:v>
                </c:pt>
                <c:pt idx="111">
                  <c:v>0.83229813664596275</c:v>
                </c:pt>
                <c:pt idx="112">
                  <c:v>0.83850931677018636</c:v>
                </c:pt>
                <c:pt idx="113">
                  <c:v>0.84472049689440998</c:v>
                </c:pt>
                <c:pt idx="114">
                  <c:v>0.8571428571428571</c:v>
                </c:pt>
                <c:pt idx="115">
                  <c:v>0.86956521739130432</c:v>
                </c:pt>
                <c:pt idx="116">
                  <c:v>0.87577639751552794</c:v>
                </c:pt>
                <c:pt idx="117">
                  <c:v>0.88819875776397517</c:v>
                </c:pt>
                <c:pt idx="118">
                  <c:v>0.89440993788819878</c:v>
                </c:pt>
                <c:pt idx="119">
                  <c:v>0.90683229813664601</c:v>
                </c:pt>
                <c:pt idx="120">
                  <c:v>0.91304347826086951</c:v>
                </c:pt>
                <c:pt idx="121">
                  <c:v>0.92546583850931674</c:v>
                </c:pt>
                <c:pt idx="122">
                  <c:v>0.93167701863354035</c:v>
                </c:pt>
                <c:pt idx="123">
                  <c:v>0.93788819875776397</c:v>
                </c:pt>
                <c:pt idx="124">
                  <c:v>0.94409937888198758</c:v>
                </c:pt>
                <c:pt idx="125">
                  <c:v>0.9503105590062112</c:v>
                </c:pt>
                <c:pt idx="126">
                  <c:v>0.95652173913043481</c:v>
                </c:pt>
                <c:pt idx="127">
                  <c:v>0.96273291925465843</c:v>
                </c:pt>
                <c:pt idx="128">
                  <c:v>0.96894409937888204</c:v>
                </c:pt>
                <c:pt idx="129">
                  <c:v>0.97515527950310554</c:v>
                </c:pt>
                <c:pt idx="130">
                  <c:v>0.98136645962732916</c:v>
                </c:pt>
                <c:pt idx="131">
                  <c:v>0.98757763975155277</c:v>
                </c:pt>
                <c:pt idx="132">
                  <c:v>1</c:v>
                </c:pt>
              </c:numCache>
            </c:numRef>
          </c:xVal>
          <c:yVal>
            <c:numRef>
              <c:f>LR_ValidationLiftChart!$CB$2:$CB$134</c:f>
              <c:numCache>
                <c:formatCode>General</c:formatCode>
                <c:ptCount val="133"/>
                <c:pt idx="0">
                  <c:v>0</c:v>
                </c:pt>
                <c:pt idx="1">
                  <c:v>6.2111801242236021E-3</c:v>
                </c:pt>
                <c:pt idx="2">
                  <c:v>1.2422360248447204E-2</c:v>
                </c:pt>
                <c:pt idx="3">
                  <c:v>1.8633540372670808E-2</c:v>
                </c:pt>
                <c:pt idx="4">
                  <c:v>3.1055900621118012E-2</c:v>
                </c:pt>
                <c:pt idx="5">
                  <c:v>3.7267080745341616E-2</c:v>
                </c:pt>
                <c:pt idx="6">
                  <c:v>4.3478260869565216E-2</c:v>
                </c:pt>
                <c:pt idx="7">
                  <c:v>4.9689440993788817E-2</c:v>
                </c:pt>
                <c:pt idx="8">
                  <c:v>5.5900621118012424E-2</c:v>
                </c:pt>
                <c:pt idx="9">
                  <c:v>6.2111801242236024E-2</c:v>
                </c:pt>
                <c:pt idx="10">
                  <c:v>8.0745341614906832E-2</c:v>
                </c:pt>
                <c:pt idx="11">
                  <c:v>9.3167701863354033E-2</c:v>
                </c:pt>
                <c:pt idx="12">
                  <c:v>9.3167701863354033E-2</c:v>
                </c:pt>
                <c:pt idx="13">
                  <c:v>9.3167701863354033E-2</c:v>
                </c:pt>
                <c:pt idx="14">
                  <c:v>9.3167701863354033E-2</c:v>
                </c:pt>
                <c:pt idx="15">
                  <c:v>9.9378881987577633E-2</c:v>
                </c:pt>
                <c:pt idx="16">
                  <c:v>9.9378881987577633E-2</c:v>
                </c:pt>
                <c:pt idx="17">
                  <c:v>0.10559006211180125</c:v>
                </c:pt>
                <c:pt idx="18">
                  <c:v>0.11180124223602485</c:v>
                </c:pt>
                <c:pt idx="19">
                  <c:v>0.11801242236024845</c:v>
                </c:pt>
                <c:pt idx="20">
                  <c:v>0.13664596273291926</c:v>
                </c:pt>
                <c:pt idx="21">
                  <c:v>0.14285714285714285</c:v>
                </c:pt>
                <c:pt idx="22">
                  <c:v>0.14285714285714285</c:v>
                </c:pt>
                <c:pt idx="23">
                  <c:v>0.14906832298136646</c:v>
                </c:pt>
                <c:pt idx="24">
                  <c:v>0.18012422360248448</c:v>
                </c:pt>
                <c:pt idx="25">
                  <c:v>0.19875776397515527</c:v>
                </c:pt>
                <c:pt idx="26">
                  <c:v>0.19875776397515527</c:v>
                </c:pt>
                <c:pt idx="27">
                  <c:v>0.21118012422360249</c:v>
                </c:pt>
                <c:pt idx="28">
                  <c:v>0.21739130434782608</c:v>
                </c:pt>
                <c:pt idx="29">
                  <c:v>0.2236024844720497</c:v>
                </c:pt>
                <c:pt idx="30">
                  <c:v>0.2236024844720497</c:v>
                </c:pt>
                <c:pt idx="31">
                  <c:v>0.22981366459627328</c:v>
                </c:pt>
                <c:pt idx="32">
                  <c:v>0.2360248447204969</c:v>
                </c:pt>
                <c:pt idx="33">
                  <c:v>0.2484472049689441</c:v>
                </c:pt>
                <c:pt idx="34">
                  <c:v>0.25465838509316768</c:v>
                </c:pt>
                <c:pt idx="35">
                  <c:v>0.25465838509316768</c:v>
                </c:pt>
                <c:pt idx="36">
                  <c:v>0.2608695652173913</c:v>
                </c:pt>
                <c:pt idx="37">
                  <c:v>0.27329192546583853</c:v>
                </c:pt>
                <c:pt idx="38">
                  <c:v>0.27329192546583853</c:v>
                </c:pt>
                <c:pt idx="39">
                  <c:v>0.27950310559006208</c:v>
                </c:pt>
                <c:pt idx="40">
                  <c:v>0.2857142857142857</c:v>
                </c:pt>
                <c:pt idx="41">
                  <c:v>0.29192546583850931</c:v>
                </c:pt>
                <c:pt idx="42">
                  <c:v>0.29192546583850931</c:v>
                </c:pt>
                <c:pt idx="43">
                  <c:v>0.29192546583850931</c:v>
                </c:pt>
                <c:pt idx="44">
                  <c:v>0.3105590062111801</c:v>
                </c:pt>
                <c:pt idx="45">
                  <c:v>0.33540372670807456</c:v>
                </c:pt>
                <c:pt idx="46">
                  <c:v>0.34161490683229812</c:v>
                </c:pt>
                <c:pt idx="47">
                  <c:v>0.34782608695652173</c:v>
                </c:pt>
                <c:pt idx="48">
                  <c:v>0.36024844720496896</c:v>
                </c:pt>
                <c:pt idx="49">
                  <c:v>0.37267080745341613</c:v>
                </c:pt>
                <c:pt idx="50">
                  <c:v>0.37267080745341613</c:v>
                </c:pt>
                <c:pt idx="51">
                  <c:v>0.38509316770186336</c:v>
                </c:pt>
                <c:pt idx="52">
                  <c:v>0.39130434782608697</c:v>
                </c:pt>
                <c:pt idx="53">
                  <c:v>0.39130434782608697</c:v>
                </c:pt>
                <c:pt idx="54">
                  <c:v>0.39130434782608697</c:v>
                </c:pt>
                <c:pt idx="55">
                  <c:v>0.39751552795031053</c:v>
                </c:pt>
                <c:pt idx="56">
                  <c:v>0.40372670807453415</c:v>
                </c:pt>
                <c:pt idx="57">
                  <c:v>0.40372670807453415</c:v>
                </c:pt>
                <c:pt idx="58">
                  <c:v>0.42236024844720499</c:v>
                </c:pt>
                <c:pt idx="59">
                  <c:v>0.42857142857142855</c:v>
                </c:pt>
                <c:pt idx="60">
                  <c:v>0.43478260869565216</c:v>
                </c:pt>
                <c:pt idx="61">
                  <c:v>0.44099378881987578</c:v>
                </c:pt>
                <c:pt idx="62">
                  <c:v>0.44720496894409939</c:v>
                </c:pt>
                <c:pt idx="63">
                  <c:v>0.453416149068323</c:v>
                </c:pt>
                <c:pt idx="64">
                  <c:v>0.45962732919254656</c:v>
                </c:pt>
                <c:pt idx="65">
                  <c:v>0.45962732919254656</c:v>
                </c:pt>
                <c:pt idx="66">
                  <c:v>0.45962732919254656</c:v>
                </c:pt>
                <c:pt idx="67">
                  <c:v>0.47204968944099379</c:v>
                </c:pt>
                <c:pt idx="68">
                  <c:v>0.47826086956521741</c:v>
                </c:pt>
                <c:pt idx="69">
                  <c:v>0.48447204968944102</c:v>
                </c:pt>
                <c:pt idx="70">
                  <c:v>0.50931677018633537</c:v>
                </c:pt>
                <c:pt idx="71">
                  <c:v>0.50931677018633537</c:v>
                </c:pt>
                <c:pt idx="72">
                  <c:v>0.52173913043478259</c:v>
                </c:pt>
                <c:pt idx="73">
                  <c:v>0.52173913043478259</c:v>
                </c:pt>
                <c:pt idx="74">
                  <c:v>0.52795031055900621</c:v>
                </c:pt>
                <c:pt idx="75">
                  <c:v>0.53416149068322982</c:v>
                </c:pt>
                <c:pt idx="76">
                  <c:v>0.53416149068322982</c:v>
                </c:pt>
                <c:pt idx="77">
                  <c:v>0.53416149068322982</c:v>
                </c:pt>
                <c:pt idx="78">
                  <c:v>0.54037267080745344</c:v>
                </c:pt>
                <c:pt idx="79">
                  <c:v>0.54658385093167705</c:v>
                </c:pt>
                <c:pt idx="80">
                  <c:v>0.56521739130434778</c:v>
                </c:pt>
                <c:pt idx="81">
                  <c:v>0.5714285714285714</c:v>
                </c:pt>
                <c:pt idx="82">
                  <c:v>0.58385093167701863</c:v>
                </c:pt>
                <c:pt idx="83">
                  <c:v>0.60248447204968947</c:v>
                </c:pt>
                <c:pt idx="84">
                  <c:v>0.6149068322981367</c:v>
                </c:pt>
                <c:pt idx="85">
                  <c:v>0.62732919254658381</c:v>
                </c:pt>
                <c:pt idx="86">
                  <c:v>0.63975155279503104</c:v>
                </c:pt>
                <c:pt idx="87">
                  <c:v>0.65217391304347827</c:v>
                </c:pt>
                <c:pt idx="88">
                  <c:v>0.65838509316770188</c:v>
                </c:pt>
                <c:pt idx="89">
                  <c:v>0.6645962732919255</c:v>
                </c:pt>
                <c:pt idx="90">
                  <c:v>0.67701863354037262</c:v>
                </c:pt>
                <c:pt idx="91">
                  <c:v>0.68322981366459623</c:v>
                </c:pt>
                <c:pt idx="92">
                  <c:v>0.68944099378881984</c:v>
                </c:pt>
                <c:pt idx="93">
                  <c:v>0.69565217391304346</c:v>
                </c:pt>
                <c:pt idx="94">
                  <c:v>0.69565217391304346</c:v>
                </c:pt>
                <c:pt idx="95">
                  <c:v>0.70186335403726707</c:v>
                </c:pt>
                <c:pt idx="96">
                  <c:v>0.70807453416149069</c:v>
                </c:pt>
                <c:pt idx="97">
                  <c:v>0.72670807453416153</c:v>
                </c:pt>
                <c:pt idx="98">
                  <c:v>0.74534161490683226</c:v>
                </c:pt>
                <c:pt idx="99">
                  <c:v>0.75155279503105588</c:v>
                </c:pt>
                <c:pt idx="100">
                  <c:v>0.7639751552795031</c:v>
                </c:pt>
                <c:pt idx="101">
                  <c:v>0.7639751552795031</c:v>
                </c:pt>
                <c:pt idx="102">
                  <c:v>0.77018633540372672</c:v>
                </c:pt>
                <c:pt idx="103">
                  <c:v>0.78260869565217395</c:v>
                </c:pt>
                <c:pt idx="104">
                  <c:v>0.78881987577639756</c:v>
                </c:pt>
                <c:pt idx="105">
                  <c:v>0.79503105590062106</c:v>
                </c:pt>
                <c:pt idx="106">
                  <c:v>0.80124223602484468</c:v>
                </c:pt>
                <c:pt idx="107">
                  <c:v>0.80745341614906829</c:v>
                </c:pt>
                <c:pt idx="108">
                  <c:v>0.81366459627329191</c:v>
                </c:pt>
                <c:pt idx="109">
                  <c:v>0.81987577639751552</c:v>
                </c:pt>
                <c:pt idx="110">
                  <c:v>0.82608695652173914</c:v>
                </c:pt>
                <c:pt idx="111">
                  <c:v>0.83229813664596275</c:v>
                </c:pt>
                <c:pt idx="112">
                  <c:v>0.83850931677018636</c:v>
                </c:pt>
                <c:pt idx="113">
                  <c:v>0.84472049689440998</c:v>
                </c:pt>
                <c:pt idx="114">
                  <c:v>0.8571428571428571</c:v>
                </c:pt>
                <c:pt idx="115">
                  <c:v>0.86956521739130432</c:v>
                </c:pt>
                <c:pt idx="116">
                  <c:v>0.87577639751552794</c:v>
                </c:pt>
                <c:pt idx="117">
                  <c:v>0.88819875776397517</c:v>
                </c:pt>
                <c:pt idx="118">
                  <c:v>0.89440993788819878</c:v>
                </c:pt>
                <c:pt idx="119">
                  <c:v>0.90683229813664601</c:v>
                </c:pt>
                <c:pt idx="120">
                  <c:v>0.91304347826086951</c:v>
                </c:pt>
                <c:pt idx="121">
                  <c:v>0.92546583850931674</c:v>
                </c:pt>
                <c:pt idx="122">
                  <c:v>0.93167701863354035</c:v>
                </c:pt>
                <c:pt idx="123">
                  <c:v>0.93788819875776397</c:v>
                </c:pt>
                <c:pt idx="124">
                  <c:v>0.94409937888198758</c:v>
                </c:pt>
                <c:pt idx="125">
                  <c:v>0.9503105590062112</c:v>
                </c:pt>
                <c:pt idx="126">
                  <c:v>0.95652173913043481</c:v>
                </c:pt>
                <c:pt idx="127">
                  <c:v>0.96273291925465843</c:v>
                </c:pt>
                <c:pt idx="128">
                  <c:v>0.96894409937888204</c:v>
                </c:pt>
                <c:pt idx="129">
                  <c:v>0.97515527950310554</c:v>
                </c:pt>
                <c:pt idx="130">
                  <c:v>0.98136645962732916</c:v>
                </c:pt>
                <c:pt idx="131">
                  <c:v>0.98757763975155277</c:v>
                </c:pt>
                <c:pt idx="13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68-4CC3-B95B-1EB733925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546096"/>
        <c:axId val="1443554832"/>
      </c:scatterChart>
      <c:valAx>
        <c:axId val="144354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54832"/>
        <c:crosses val="autoZero"/>
        <c:crossBetween val="midCat"/>
      </c:valAx>
      <c:valAx>
        <c:axId val="1443554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35460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(training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Dropped when sorted using predicted values</c:v>
          </c:tx>
          <c:spPr>
            <a:ln w="6350"/>
          </c:spPr>
          <c:marker>
            <c:symbol val="none"/>
          </c:marker>
          <c:xVal>
            <c:numRef>
              <c:f>LR_TrainingLiftChart2!$AZ$4:$AZ$303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LR_TrainingLiftChart2!$BC$4:$BC$303</c:f>
              <c:numCache>
                <c:formatCode>General</c:formatCode>
                <c:ptCount val="3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16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17</c:v>
                </c:pt>
                <c:pt idx="77">
                  <c:v>17</c:v>
                </c:pt>
                <c:pt idx="78">
                  <c:v>17</c:v>
                </c:pt>
                <c:pt idx="79">
                  <c:v>17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18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22</c:v>
                </c:pt>
                <c:pt idx="99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23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25</c:v>
                </c:pt>
                <c:pt idx="120">
                  <c:v>25</c:v>
                </c:pt>
                <c:pt idx="121">
                  <c:v>25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26</c:v>
                </c:pt>
                <c:pt idx="126">
                  <c:v>26</c:v>
                </c:pt>
                <c:pt idx="127">
                  <c:v>26</c:v>
                </c:pt>
                <c:pt idx="128">
                  <c:v>26</c:v>
                </c:pt>
                <c:pt idx="129">
                  <c:v>27</c:v>
                </c:pt>
                <c:pt idx="130">
                  <c:v>27</c:v>
                </c:pt>
                <c:pt idx="131">
                  <c:v>27</c:v>
                </c:pt>
                <c:pt idx="132">
                  <c:v>28</c:v>
                </c:pt>
                <c:pt idx="133">
                  <c:v>29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31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31</c:v>
                </c:pt>
                <c:pt idx="143">
                  <c:v>31</c:v>
                </c:pt>
                <c:pt idx="144">
                  <c:v>31</c:v>
                </c:pt>
                <c:pt idx="145">
                  <c:v>31</c:v>
                </c:pt>
                <c:pt idx="146">
                  <c:v>31</c:v>
                </c:pt>
                <c:pt idx="147">
                  <c:v>32</c:v>
                </c:pt>
                <c:pt idx="148">
                  <c:v>32</c:v>
                </c:pt>
                <c:pt idx="149">
                  <c:v>32</c:v>
                </c:pt>
                <c:pt idx="150">
                  <c:v>32</c:v>
                </c:pt>
                <c:pt idx="151">
                  <c:v>32</c:v>
                </c:pt>
                <c:pt idx="152">
                  <c:v>32</c:v>
                </c:pt>
                <c:pt idx="153">
                  <c:v>32</c:v>
                </c:pt>
                <c:pt idx="154">
                  <c:v>33</c:v>
                </c:pt>
                <c:pt idx="155">
                  <c:v>33</c:v>
                </c:pt>
                <c:pt idx="156">
                  <c:v>33</c:v>
                </c:pt>
                <c:pt idx="157">
                  <c:v>34</c:v>
                </c:pt>
                <c:pt idx="158">
                  <c:v>34</c:v>
                </c:pt>
                <c:pt idx="159">
                  <c:v>34</c:v>
                </c:pt>
                <c:pt idx="160">
                  <c:v>34</c:v>
                </c:pt>
                <c:pt idx="161">
                  <c:v>34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35</c:v>
                </c:pt>
                <c:pt idx="166">
                  <c:v>35</c:v>
                </c:pt>
                <c:pt idx="167">
                  <c:v>35</c:v>
                </c:pt>
                <c:pt idx="168">
                  <c:v>35</c:v>
                </c:pt>
                <c:pt idx="169">
                  <c:v>35</c:v>
                </c:pt>
                <c:pt idx="170">
                  <c:v>35</c:v>
                </c:pt>
                <c:pt idx="171">
                  <c:v>35</c:v>
                </c:pt>
                <c:pt idx="172">
                  <c:v>35</c:v>
                </c:pt>
                <c:pt idx="173">
                  <c:v>35</c:v>
                </c:pt>
                <c:pt idx="174">
                  <c:v>35</c:v>
                </c:pt>
                <c:pt idx="175">
                  <c:v>35</c:v>
                </c:pt>
                <c:pt idx="176">
                  <c:v>35</c:v>
                </c:pt>
                <c:pt idx="177">
                  <c:v>35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38</c:v>
                </c:pt>
                <c:pt idx="187">
                  <c:v>39</c:v>
                </c:pt>
                <c:pt idx="188">
                  <c:v>39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40</c:v>
                </c:pt>
                <c:pt idx="193">
                  <c:v>40</c:v>
                </c:pt>
                <c:pt idx="194">
                  <c:v>41</c:v>
                </c:pt>
                <c:pt idx="195">
                  <c:v>41</c:v>
                </c:pt>
                <c:pt idx="196">
                  <c:v>42</c:v>
                </c:pt>
                <c:pt idx="197">
                  <c:v>42</c:v>
                </c:pt>
                <c:pt idx="198">
                  <c:v>42</c:v>
                </c:pt>
                <c:pt idx="199">
                  <c:v>43</c:v>
                </c:pt>
                <c:pt idx="200">
                  <c:v>43</c:v>
                </c:pt>
                <c:pt idx="201">
                  <c:v>43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45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49</c:v>
                </c:pt>
                <c:pt idx="233">
                  <c:v>49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51</c:v>
                </c:pt>
                <c:pt idx="238">
                  <c:v>51</c:v>
                </c:pt>
                <c:pt idx="239">
                  <c:v>51</c:v>
                </c:pt>
                <c:pt idx="240">
                  <c:v>51</c:v>
                </c:pt>
                <c:pt idx="241">
                  <c:v>51</c:v>
                </c:pt>
                <c:pt idx="242">
                  <c:v>51</c:v>
                </c:pt>
                <c:pt idx="243">
                  <c:v>51</c:v>
                </c:pt>
                <c:pt idx="244">
                  <c:v>51</c:v>
                </c:pt>
                <c:pt idx="245">
                  <c:v>51</c:v>
                </c:pt>
                <c:pt idx="246">
                  <c:v>52</c:v>
                </c:pt>
                <c:pt idx="247">
                  <c:v>53</c:v>
                </c:pt>
                <c:pt idx="248">
                  <c:v>53</c:v>
                </c:pt>
                <c:pt idx="249">
                  <c:v>53</c:v>
                </c:pt>
                <c:pt idx="250">
                  <c:v>53</c:v>
                </c:pt>
                <c:pt idx="251">
                  <c:v>53</c:v>
                </c:pt>
                <c:pt idx="252">
                  <c:v>53</c:v>
                </c:pt>
                <c:pt idx="253">
                  <c:v>53</c:v>
                </c:pt>
                <c:pt idx="254">
                  <c:v>53</c:v>
                </c:pt>
                <c:pt idx="255">
                  <c:v>53</c:v>
                </c:pt>
                <c:pt idx="256">
                  <c:v>54</c:v>
                </c:pt>
                <c:pt idx="257">
                  <c:v>54</c:v>
                </c:pt>
                <c:pt idx="258">
                  <c:v>54</c:v>
                </c:pt>
                <c:pt idx="259">
                  <c:v>55</c:v>
                </c:pt>
                <c:pt idx="260">
                  <c:v>55</c:v>
                </c:pt>
                <c:pt idx="261">
                  <c:v>55</c:v>
                </c:pt>
                <c:pt idx="262">
                  <c:v>55</c:v>
                </c:pt>
                <c:pt idx="263">
                  <c:v>55</c:v>
                </c:pt>
                <c:pt idx="264">
                  <c:v>55</c:v>
                </c:pt>
                <c:pt idx="265">
                  <c:v>55</c:v>
                </c:pt>
                <c:pt idx="266">
                  <c:v>55</c:v>
                </c:pt>
                <c:pt idx="267">
                  <c:v>55</c:v>
                </c:pt>
                <c:pt idx="268">
                  <c:v>56</c:v>
                </c:pt>
                <c:pt idx="269">
                  <c:v>56</c:v>
                </c:pt>
                <c:pt idx="270">
                  <c:v>56</c:v>
                </c:pt>
                <c:pt idx="271">
                  <c:v>56</c:v>
                </c:pt>
                <c:pt idx="272">
                  <c:v>57</c:v>
                </c:pt>
                <c:pt idx="273">
                  <c:v>58</c:v>
                </c:pt>
                <c:pt idx="274">
                  <c:v>58</c:v>
                </c:pt>
                <c:pt idx="275">
                  <c:v>58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59</c:v>
                </c:pt>
                <c:pt idx="290">
                  <c:v>59</c:v>
                </c:pt>
                <c:pt idx="291">
                  <c:v>59</c:v>
                </c:pt>
                <c:pt idx="292">
                  <c:v>59</c:v>
                </c:pt>
                <c:pt idx="293">
                  <c:v>59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59</c:v>
                </c:pt>
                <c:pt idx="298">
                  <c:v>59</c:v>
                </c:pt>
                <c:pt idx="299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72-4386-8CEE-2B9C615166A8}"/>
            </c:ext>
          </c:extLst>
        </c:ser>
        <c:ser>
          <c:idx val="1"/>
          <c:order val="1"/>
          <c:tx>
            <c:v>Cumulative Dropped using average</c:v>
          </c:tx>
          <c:spPr>
            <a:ln w="6350"/>
          </c:spPr>
          <c:marker>
            <c:symbol val="none"/>
          </c:marker>
          <c:xVal>
            <c:numRef>
              <c:f>LR_TrainingLiftChart2!$AZ$4:$AZ$303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LR_TrainingLiftChart2!$BD$4:$BD$303</c:f>
              <c:numCache>
                <c:formatCode>General</c:formatCode>
                <c:ptCount val="300"/>
                <c:pt idx="0">
                  <c:v>0.19666666666666666</c:v>
                </c:pt>
                <c:pt idx="1">
                  <c:v>0.39333333333333331</c:v>
                </c:pt>
                <c:pt idx="2">
                  <c:v>0.59</c:v>
                </c:pt>
                <c:pt idx="3">
                  <c:v>0.78666666666666663</c:v>
                </c:pt>
                <c:pt idx="4">
                  <c:v>0.98333333333333328</c:v>
                </c:pt>
                <c:pt idx="5">
                  <c:v>1.18</c:v>
                </c:pt>
                <c:pt idx="6">
                  <c:v>1.3766666666666665</c:v>
                </c:pt>
                <c:pt idx="7">
                  <c:v>1.5733333333333333</c:v>
                </c:pt>
                <c:pt idx="8">
                  <c:v>1.77</c:v>
                </c:pt>
                <c:pt idx="9">
                  <c:v>1.9666666666666666</c:v>
                </c:pt>
                <c:pt idx="10">
                  <c:v>2.1633333333333331</c:v>
                </c:pt>
                <c:pt idx="11">
                  <c:v>2.36</c:v>
                </c:pt>
                <c:pt idx="12">
                  <c:v>2.5566666666666666</c:v>
                </c:pt>
                <c:pt idx="13">
                  <c:v>2.753333333333333</c:v>
                </c:pt>
                <c:pt idx="14">
                  <c:v>2.9499999999999997</c:v>
                </c:pt>
                <c:pt idx="15">
                  <c:v>3.1466666666666665</c:v>
                </c:pt>
                <c:pt idx="16">
                  <c:v>3.3433333333333333</c:v>
                </c:pt>
                <c:pt idx="17">
                  <c:v>3.54</c:v>
                </c:pt>
                <c:pt idx="18">
                  <c:v>3.7366666666666664</c:v>
                </c:pt>
                <c:pt idx="19">
                  <c:v>3.9333333333333331</c:v>
                </c:pt>
                <c:pt idx="20">
                  <c:v>4.13</c:v>
                </c:pt>
                <c:pt idx="21">
                  <c:v>4.3266666666666662</c:v>
                </c:pt>
                <c:pt idx="22">
                  <c:v>4.5233333333333334</c:v>
                </c:pt>
                <c:pt idx="23">
                  <c:v>4.72</c:v>
                </c:pt>
                <c:pt idx="24">
                  <c:v>4.9166666666666661</c:v>
                </c:pt>
                <c:pt idx="25">
                  <c:v>5.1133333333333333</c:v>
                </c:pt>
                <c:pt idx="26">
                  <c:v>5.31</c:v>
                </c:pt>
                <c:pt idx="27">
                  <c:v>5.5066666666666659</c:v>
                </c:pt>
                <c:pt idx="28">
                  <c:v>5.7033333333333331</c:v>
                </c:pt>
                <c:pt idx="29">
                  <c:v>5.8999999999999995</c:v>
                </c:pt>
                <c:pt idx="30">
                  <c:v>6.0966666666666667</c:v>
                </c:pt>
                <c:pt idx="31">
                  <c:v>6.293333333333333</c:v>
                </c:pt>
                <c:pt idx="32">
                  <c:v>6.4899999999999993</c:v>
                </c:pt>
                <c:pt idx="33">
                  <c:v>6.6866666666666665</c:v>
                </c:pt>
                <c:pt idx="34">
                  <c:v>6.8833333333333329</c:v>
                </c:pt>
                <c:pt idx="35">
                  <c:v>7.08</c:v>
                </c:pt>
                <c:pt idx="36">
                  <c:v>7.2766666666666664</c:v>
                </c:pt>
                <c:pt idx="37">
                  <c:v>7.4733333333333327</c:v>
                </c:pt>
                <c:pt idx="38">
                  <c:v>7.67</c:v>
                </c:pt>
                <c:pt idx="39">
                  <c:v>7.8666666666666663</c:v>
                </c:pt>
                <c:pt idx="40">
                  <c:v>8.0633333333333326</c:v>
                </c:pt>
                <c:pt idx="41">
                  <c:v>8.26</c:v>
                </c:pt>
                <c:pt idx="42">
                  <c:v>8.456666666666667</c:v>
                </c:pt>
                <c:pt idx="43">
                  <c:v>8.6533333333333324</c:v>
                </c:pt>
                <c:pt idx="44">
                  <c:v>8.85</c:v>
                </c:pt>
                <c:pt idx="45">
                  <c:v>9.0466666666666669</c:v>
                </c:pt>
                <c:pt idx="46">
                  <c:v>9.2433333333333323</c:v>
                </c:pt>
                <c:pt idx="47">
                  <c:v>9.44</c:v>
                </c:pt>
                <c:pt idx="48">
                  <c:v>9.6366666666666667</c:v>
                </c:pt>
                <c:pt idx="49">
                  <c:v>9.8333333333333321</c:v>
                </c:pt>
                <c:pt idx="50">
                  <c:v>10.029999999999999</c:v>
                </c:pt>
                <c:pt idx="51">
                  <c:v>10.226666666666667</c:v>
                </c:pt>
                <c:pt idx="52">
                  <c:v>10.423333333333332</c:v>
                </c:pt>
                <c:pt idx="53">
                  <c:v>10.62</c:v>
                </c:pt>
                <c:pt idx="54">
                  <c:v>10.816666666666666</c:v>
                </c:pt>
                <c:pt idx="55">
                  <c:v>11.013333333333332</c:v>
                </c:pt>
                <c:pt idx="56">
                  <c:v>11.209999999999999</c:v>
                </c:pt>
                <c:pt idx="57">
                  <c:v>11.406666666666666</c:v>
                </c:pt>
                <c:pt idx="58">
                  <c:v>11.603333333333333</c:v>
                </c:pt>
                <c:pt idx="59">
                  <c:v>11.799999999999999</c:v>
                </c:pt>
                <c:pt idx="60">
                  <c:v>11.996666666666666</c:v>
                </c:pt>
                <c:pt idx="61">
                  <c:v>12.193333333333333</c:v>
                </c:pt>
                <c:pt idx="62">
                  <c:v>12.389999999999999</c:v>
                </c:pt>
                <c:pt idx="63">
                  <c:v>12.586666666666666</c:v>
                </c:pt>
                <c:pt idx="64">
                  <c:v>12.783333333333333</c:v>
                </c:pt>
                <c:pt idx="65">
                  <c:v>12.979999999999999</c:v>
                </c:pt>
                <c:pt idx="66">
                  <c:v>13.176666666666666</c:v>
                </c:pt>
                <c:pt idx="67">
                  <c:v>13.373333333333333</c:v>
                </c:pt>
                <c:pt idx="68">
                  <c:v>13.569999999999999</c:v>
                </c:pt>
                <c:pt idx="69">
                  <c:v>13.766666666666666</c:v>
                </c:pt>
                <c:pt idx="70">
                  <c:v>13.963333333333333</c:v>
                </c:pt>
                <c:pt idx="71">
                  <c:v>14.16</c:v>
                </c:pt>
                <c:pt idx="72">
                  <c:v>14.356666666666666</c:v>
                </c:pt>
                <c:pt idx="73">
                  <c:v>14.553333333333333</c:v>
                </c:pt>
                <c:pt idx="74">
                  <c:v>14.75</c:v>
                </c:pt>
                <c:pt idx="75">
                  <c:v>14.946666666666665</c:v>
                </c:pt>
                <c:pt idx="76">
                  <c:v>15.143333333333333</c:v>
                </c:pt>
                <c:pt idx="77">
                  <c:v>15.34</c:v>
                </c:pt>
                <c:pt idx="78">
                  <c:v>15.536666666666665</c:v>
                </c:pt>
                <c:pt idx="79">
                  <c:v>15.733333333333333</c:v>
                </c:pt>
                <c:pt idx="80">
                  <c:v>15.93</c:v>
                </c:pt>
                <c:pt idx="81">
                  <c:v>16.126666666666665</c:v>
                </c:pt>
                <c:pt idx="82">
                  <c:v>16.323333333333334</c:v>
                </c:pt>
                <c:pt idx="83">
                  <c:v>16.52</c:v>
                </c:pt>
                <c:pt idx="84">
                  <c:v>16.716666666666665</c:v>
                </c:pt>
                <c:pt idx="85">
                  <c:v>16.913333333333334</c:v>
                </c:pt>
                <c:pt idx="86">
                  <c:v>17.11</c:v>
                </c:pt>
                <c:pt idx="87">
                  <c:v>17.306666666666665</c:v>
                </c:pt>
                <c:pt idx="88">
                  <c:v>17.503333333333334</c:v>
                </c:pt>
                <c:pt idx="89">
                  <c:v>17.7</c:v>
                </c:pt>
                <c:pt idx="90">
                  <c:v>17.896666666666665</c:v>
                </c:pt>
                <c:pt idx="91">
                  <c:v>18.093333333333334</c:v>
                </c:pt>
                <c:pt idx="92">
                  <c:v>18.29</c:v>
                </c:pt>
                <c:pt idx="93">
                  <c:v>18.486666666666665</c:v>
                </c:pt>
                <c:pt idx="94">
                  <c:v>18.683333333333334</c:v>
                </c:pt>
                <c:pt idx="95">
                  <c:v>18.88</c:v>
                </c:pt>
                <c:pt idx="96">
                  <c:v>19.076666666666664</c:v>
                </c:pt>
                <c:pt idx="97">
                  <c:v>19.273333333333333</c:v>
                </c:pt>
                <c:pt idx="98">
                  <c:v>19.47</c:v>
                </c:pt>
                <c:pt idx="99">
                  <c:v>19.666666666666664</c:v>
                </c:pt>
                <c:pt idx="100">
                  <c:v>19.863333333333333</c:v>
                </c:pt>
                <c:pt idx="101">
                  <c:v>20.059999999999999</c:v>
                </c:pt>
                <c:pt idx="102">
                  <c:v>20.256666666666664</c:v>
                </c:pt>
                <c:pt idx="103">
                  <c:v>20.453333333333333</c:v>
                </c:pt>
                <c:pt idx="104">
                  <c:v>20.65</c:v>
                </c:pt>
                <c:pt idx="105">
                  <c:v>20.846666666666664</c:v>
                </c:pt>
                <c:pt idx="106">
                  <c:v>21.043333333333333</c:v>
                </c:pt>
                <c:pt idx="107">
                  <c:v>21.24</c:v>
                </c:pt>
                <c:pt idx="108">
                  <c:v>21.436666666666664</c:v>
                </c:pt>
                <c:pt idx="109">
                  <c:v>21.633333333333333</c:v>
                </c:pt>
                <c:pt idx="110">
                  <c:v>21.83</c:v>
                </c:pt>
                <c:pt idx="111">
                  <c:v>22.026666666666664</c:v>
                </c:pt>
                <c:pt idx="112">
                  <c:v>22.223333333333333</c:v>
                </c:pt>
                <c:pt idx="113">
                  <c:v>22.419999999999998</c:v>
                </c:pt>
                <c:pt idx="114">
                  <c:v>22.616666666666667</c:v>
                </c:pt>
                <c:pt idx="115">
                  <c:v>22.813333333333333</c:v>
                </c:pt>
                <c:pt idx="116">
                  <c:v>23.009999999999998</c:v>
                </c:pt>
                <c:pt idx="117">
                  <c:v>23.206666666666667</c:v>
                </c:pt>
                <c:pt idx="118">
                  <c:v>23.403333333333332</c:v>
                </c:pt>
                <c:pt idx="119">
                  <c:v>23.599999999999998</c:v>
                </c:pt>
                <c:pt idx="120">
                  <c:v>23.796666666666667</c:v>
                </c:pt>
                <c:pt idx="121">
                  <c:v>23.993333333333332</c:v>
                </c:pt>
                <c:pt idx="122">
                  <c:v>24.189999999999998</c:v>
                </c:pt>
                <c:pt idx="123">
                  <c:v>24.386666666666667</c:v>
                </c:pt>
                <c:pt idx="124">
                  <c:v>24.583333333333332</c:v>
                </c:pt>
                <c:pt idx="125">
                  <c:v>24.779999999999998</c:v>
                </c:pt>
                <c:pt idx="126">
                  <c:v>24.976666666666667</c:v>
                </c:pt>
                <c:pt idx="127">
                  <c:v>25.173333333333332</c:v>
                </c:pt>
                <c:pt idx="128">
                  <c:v>25.369999999999997</c:v>
                </c:pt>
                <c:pt idx="129">
                  <c:v>25.566666666666666</c:v>
                </c:pt>
                <c:pt idx="130">
                  <c:v>25.763333333333332</c:v>
                </c:pt>
                <c:pt idx="131">
                  <c:v>25.959999999999997</c:v>
                </c:pt>
                <c:pt idx="132">
                  <c:v>26.156666666666666</c:v>
                </c:pt>
                <c:pt idx="133">
                  <c:v>26.353333333333332</c:v>
                </c:pt>
                <c:pt idx="134">
                  <c:v>26.549999999999997</c:v>
                </c:pt>
                <c:pt idx="135">
                  <c:v>26.746666666666666</c:v>
                </c:pt>
                <c:pt idx="136">
                  <c:v>26.943333333333332</c:v>
                </c:pt>
                <c:pt idx="137">
                  <c:v>27.139999999999997</c:v>
                </c:pt>
                <c:pt idx="138">
                  <c:v>27.336666666666666</c:v>
                </c:pt>
                <c:pt idx="139">
                  <c:v>27.533333333333331</c:v>
                </c:pt>
                <c:pt idx="140">
                  <c:v>27.729999999999997</c:v>
                </c:pt>
                <c:pt idx="141">
                  <c:v>27.926666666666666</c:v>
                </c:pt>
                <c:pt idx="142">
                  <c:v>28.123333333333331</c:v>
                </c:pt>
                <c:pt idx="143">
                  <c:v>28.32</c:v>
                </c:pt>
                <c:pt idx="144">
                  <c:v>28.516666666666666</c:v>
                </c:pt>
                <c:pt idx="145">
                  <c:v>28.713333333333331</c:v>
                </c:pt>
                <c:pt idx="146">
                  <c:v>28.91</c:v>
                </c:pt>
                <c:pt idx="147">
                  <c:v>29.106666666666666</c:v>
                </c:pt>
                <c:pt idx="148">
                  <c:v>29.303333333333331</c:v>
                </c:pt>
                <c:pt idx="149">
                  <c:v>29.5</c:v>
                </c:pt>
                <c:pt idx="150">
                  <c:v>29.696666666666665</c:v>
                </c:pt>
                <c:pt idx="151">
                  <c:v>29.893333333333331</c:v>
                </c:pt>
                <c:pt idx="152">
                  <c:v>30.09</c:v>
                </c:pt>
                <c:pt idx="153">
                  <c:v>30.286666666666665</c:v>
                </c:pt>
                <c:pt idx="154">
                  <c:v>30.483333333333331</c:v>
                </c:pt>
                <c:pt idx="155">
                  <c:v>30.68</c:v>
                </c:pt>
                <c:pt idx="156">
                  <c:v>30.876666666666665</c:v>
                </c:pt>
                <c:pt idx="157">
                  <c:v>31.073333333333331</c:v>
                </c:pt>
                <c:pt idx="158">
                  <c:v>31.27</c:v>
                </c:pt>
                <c:pt idx="159">
                  <c:v>31.466666666666665</c:v>
                </c:pt>
                <c:pt idx="160">
                  <c:v>31.66333333333333</c:v>
                </c:pt>
                <c:pt idx="161">
                  <c:v>31.86</c:v>
                </c:pt>
                <c:pt idx="162">
                  <c:v>32.056666666666665</c:v>
                </c:pt>
                <c:pt idx="163">
                  <c:v>32.25333333333333</c:v>
                </c:pt>
                <c:pt idx="164">
                  <c:v>32.449999999999996</c:v>
                </c:pt>
                <c:pt idx="165">
                  <c:v>32.646666666666668</c:v>
                </c:pt>
                <c:pt idx="166">
                  <c:v>32.843333333333334</c:v>
                </c:pt>
                <c:pt idx="167">
                  <c:v>33.04</c:v>
                </c:pt>
                <c:pt idx="168">
                  <c:v>33.236666666666665</c:v>
                </c:pt>
                <c:pt idx="169">
                  <c:v>33.43333333333333</c:v>
                </c:pt>
                <c:pt idx="170">
                  <c:v>33.629999999999995</c:v>
                </c:pt>
                <c:pt idx="171">
                  <c:v>33.826666666666668</c:v>
                </c:pt>
                <c:pt idx="172">
                  <c:v>34.023333333333333</c:v>
                </c:pt>
                <c:pt idx="173">
                  <c:v>34.22</c:v>
                </c:pt>
                <c:pt idx="174">
                  <c:v>34.416666666666664</c:v>
                </c:pt>
                <c:pt idx="175">
                  <c:v>34.61333333333333</c:v>
                </c:pt>
                <c:pt idx="176">
                  <c:v>34.809999999999995</c:v>
                </c:pt>
                <c:pt idx="177">
                  <c:v>35.006666666666668</c:v>
                </c:pt>
                <c:pt idx="178">
                  <c:v>35.203333333333333</c:v>
                </c:pt>
                <c:pt idx="179">
                  <c:v>35.4</c:v>
                </c:pt>
                <c:pt idx="180">
                  <c:v>35.596666666666664</c:v>
                </c:pt>
                <c:pt idx="181">
                  <c:v>35.793333333333329</c:v>
                </c:pt>
                <c:pt idx="182">
                  <c:v>35.989999999999995</c:v>
                </c:pt>
                <c:pt idx="183">
                  <c:v>36.186666666666667</c:v>
                </c:pt>
                <c:pt idx="184">
                  <c:v>36.383333333333333</c:v>
                </c:pt>
                <c:pt idx="185">
                  <c:v>36.58</c:v>
                </c:pt>
                <c:pt idx="186">
                  <c:v>36.776666666666664</c:v>
                </c:pt>
                <c:pt idx="187">
                  <c:v>36.973333333333329</c:v>
                </c:pt>
                <c:pt idx="188">
                  <c:v>37.169999999999995</c:v>
                </c:pt>
                <c:pt idx="189">
                  <c:v>37.366666666666667</c:v>
                </c:pt>
                <c:pt idx="190">
                  <c:v>37.563333333333333</c:v>
                </c:pt>
                <c:pt idx="191">
                  <c:v>37.76</c:v>
                </c:pt>
                <c:pt idx="192">
                  <c:v>37.956666666666663</c:v>
                </c:pt>
                <c:pt idx="193">
                  <c:v>38.153333333333329</c:v>
                </c:pt>
                <c:pt idx="194">
                  <c:v>38.35</c:v>
                </c:pt>
                <c:pt idx="195">
                  <c:v>38.546666666666667</c:v>
                </c:pt>
                <c:pt idx="196">
                  <c:v>38.743333333333332</c:v>
                </c:pt>
                <c:pt idx="197">
                  <c:v>38.94</c:v>
                </c:pt>
                <c:pt idx="198">
                  <c:v>39.136666666666663</c:v>
                </c:pt>
                <c:pt idx="199">
                  <c:v>39.333333333333329</c:v>
                </c:pt>
                <c:pt idx="200">
                  <c:v>39.53</c:v>
                </c:pt>
                <c:pt idx="201">
                  <c:v>39.726666666666667</c:v>
                </c:pt>
                <c:pt idx="202">
                  <c:v>39.923333333333332</c:v>
                </c:pt>
                <c:pt idx="203">
                  <c:v>40.119999999999997</c:v>
                </c:pt>
                <c:pt idx="204">
                  <c:v>40.316666666666663</c:v>
                </c:pt>
                <c:pt idx="205">
                  <c:v>40.513333333333328</c:v>
                </c:pt>
                <c:pt idx="206">
                  <c:v>40.71</c:v>
                </c:pt>
                <c:pt idx="207">
                  <c:v>40.906666666666666</c:v>
                </c:pt>
                <c:pt idx="208">
                  <c:v>41.103333333333332</c:v>
                </c:pt>
                <c:pt idx="209">
                  <c:v>41.3</c:v>
                </c:pt>
                <c:pt idx="210">
                  <c:v>41.496666666666663</c:v>
                </c:pt>
                <c:pt idx="211">
                  <c:v>41.693333333333328</c:v>
                </c:pt>
                <c:pt idx="212">
                  <c:v>41.89</c:v>
                </c:pt>
                <c:pt idx="213">
                  <c:v>42.086666666666666</c:v>
                </c:pt>
                <c:pt idx="214">
                  <c:v>42.283333333333331</c:v>
                </c:pt>
                <c:pt idx="215">
                  <c:v>42.48</c:v>
                </c:pt>
                <c:pt idx="216">
                  <c:v>42.676666666666662</c:v>
                </c:pt>
                <c:pt idx="217">
                  <c:v>42.873333333333328</c:v>
                </c:pt>
                <c:pt idx="218">
                  <c:v>43.07</c:v>
                </c:pt>
                <c:pt idx="219">
                  <c:v>43.266666666666666</c:v>
                </c:pt>
                <c:pt idx="220">
                  <c:v>43.463333333333331</c:v>
                </c:pt>
                <c:pt idx="221">
                  <c:v>43.66</c:v>
                </c:pt>
                <c:pt idx="222">
                  <c:v>43.856666666666662</c:v>
                </c:pt>
                <c:pt idx="223">
                  <c:v>44.053333333333327</c:v>
                </c:pt>
                <c:pt idx="224">
                  <c:v>44.25</c:v>
                </c:pt>
                <c:pt idx="225">
                  <c:v>44.446666666666665</c:v>
                </c:pt>
                <c:pt idx="226">
                  <c:v>44.643333333333331</c:v>
                </c:pt>
                <c:pt idx="227">
                  <c:v>44.839999999999996</c:v>
                </c:pt>
                <c:pt idx="228">
                  <c:v>45.036666666666662</c:v>
                </c:pt>
                <c:pt idx="229">
                  <c:v>45.233333333333334</c:v>
                </c:pt>
                <c:pt idx="230">
                  <c:v>45.43</c:v>
                </c:pt>
                <c:pt idx="231">
                  <c:v>45.626666666666665</c:v>
                </c:pt>
                <c:pt idx="232">
                  <c:v>45.823333333333331</c:v>
                </c:pt>
                <c:pt idx="233">
                  <c:v>46.019999999999996</c:v>
                </c:pt>
                <c:pt idx="234">
                  <c:v>46.216666666666661</c:v>
                </c:pt>
                <c:pt idx="235">
                  <c:v>46.413333333333334</c:v>
                </c:pt>
                <c:pt idx="236">
                  <c:v>46.61</c:v>
                </c:pt>
                <c:pt idx="237">
                  <c:v>46.806666666666665</c:v>
                </c:pt>
                <c:pt idx="238">
                  <c:v>47.00333333333333</c:v>
                </c:pt>
                <c:pt idx="239">
                  <c:v>47.199999999999996</c:v>
                </c:pt>
                <c:pt idx="240">
                  <c:v>47.396666666666661</c:v>
                </c:pt>
                <c:pt idx="241">
                  <c:v>47.593333333333334</c:v>
                </c:pt>
                <c:pt idx="242">
                  <c:v>47.79</c:v>
                </c:pt>
                <c:pt idx="243">
                  <c:v>47.986666666666665</c:v>
                </c:pt>
                <c:pt idx="244">
                  <c:v>48.18333333333333</c:v>
                </c:pt>
                <c:pt idx="245">
                  <c:v>48.379999999999995</c:v>
                </c:pt>
                <c:pt idx="246">
                  <c:v>48.576666666666661</c:v>
                </c:pt>
                <c:pt idx="247">
                  <c:v>48.773333333333333</c:v>
                </c:pt>
                <c:pt idx="248">
                  <c:v>48.97</c:v>
                </c:pt>
                <c:pt idx="249">
                  <c:v>49.166666666666664</c:v>
                </c:pt>
                <c:pt idx="250">
                  <c:v>49.36333333333333</c:v>
                </c:pt>
                <c:pt idx="251">
                  <c:v>49.559999999999995</c:v>
                </c:pt>
                <c:pt idx="252">
                  <c:v>49.756666666666661</c:v>
                </c:pt>
                <c:pt idx="253">
                  <c:v>49.953333333333333</c:v>
                </c:pt>
                <c:pt idx="254">
                  <c:v>50.15</c:v>
                </c:pt>
                <c:pt idx="255">
                  <c:v>50.346666666666664</c:v>
                </c:pt>
                <c:pt idx="256">
                  <c:v>50.543333333333329</c:v>
                </c:pt>
                <c:pt idx="257">
                  <c:v>50.739999999999995</c:v>
                </c:pt>
                <c:pt idx="258">
                  <c:v>50.936666666666667</c:v>
                </c:pt>
                <c:pt idx="259">
                  <c:v>51.133333333333333</c:v>
                </c:pt>
                <c:pt idx="260">
                  <c:v>51.33</c:v>
                </c:pt>
                <c:pt idx="261">
                  <c:v>51.526666666666664</c:v>
                </c:pt>
                <c:pt idx="262">
                  <c:v>51.723333333333329</c:v>
                </c:pt>
                <c:pt idx="263">
                  <c:v>51.919999999999995</c:v>
                </c:pt>
                <c:pt idx="264">
                  <c:v>52.116666666666667</c:v>
                </c:pt>
                <c:pt idx="265">
                  <c:v>52.313333333333333</c:v>
                </c:pt>
                <c:pt idx="266">
                  <c:v>52.51</c:v>
                </c:pt>
                <c:pt idx="267">
                  <c:v>52.706666666666663</c:v>
                </c:pt>
                <c:pt idx="268">
                  <c:v>52.903333333333329</c:v>
                </c:pt>
                <c:pt idx="269">
                  <c:v>53.099999999999994</c:v>
                </c:pt>
                <c:pt idx="270">
                  <c:v>53.296666666666667</c:v>
                </c:pt>
                <c:pt idx="271">
                  <c:v>53.493333333333332</c:v>
                </c:pt>
                <c:pt idx="272">
                  <c:v>53.69</c:v>
                </c:pt>
                <c:pt idx="273">
                  <c:v>53.886666666666663</c:v>
                </c:pt>
                <c:pt idx="274">
                  <c:v>54.083333333333329</c:v>
                </c:pt>
                <c:pt idx="275">
                  <c:v>54.279999999999994</c:v>
                </c:pt>
                <c:pt idx="276">
                  <c:v>54.476666666666667</c:v>
                </c:pt>
                <c:pt idx="277">
                  <c:v>54.673333333333332</c:v>
                </c:pt>
                <c:pt idx="278">
                  <c:v>54.87</c:v>
                </c:pt>
                <c:pt idx="279">
                  <c:v>55.066666666666663</c:v>
                </c:pt>
                <c:pt idx="280">
                  <c:v>55.263333333333328</c:v>
                </c:pt>
                <c:pt idx="281">
                  <c:v>55.459999999999994</c:v>
                </c:pt>
                <c:pt idx="282">
                  <c:v>55.656666666666666</c:v>
                </c:pt>
                <c:pt idx="283">
                  <c:v>55.853333333333332</c:v>
                </c:pt>
                <c:pt idx="284">
                  <c:v>56.05</c:v>
                </c:pt>
                <c:pt idx="285">
                  <c:v>56.246666666666663</c:v>
                </c:pt>
                <c:pt idx="286">
                  <c:v>56.443333333333328</c:v>
                </c:pt>
                <c:pt idx="287">
                  <c:v>56.64</c:v>
                </c:pt>
                <c:pt idx="288">
                  <c:v>56.836666666666666</c:v>
                </c:pt>
                <c:pt idx="289">
                  <c:v>57.033333333333331</c:v>
                </c:pt>
                <c:pt idx="290">
                  <c:v>57.23</c:v>
                </c:pt>
                <c:pt idx="291">
                  <c:v>57.426666666666662</c:v>
                </c:pt>
                <c:pt idx="292">
                  <c:v>57.623333333333328</c:v>
                </c:pt>
                <c:pt idx="293">
                  <c:v>57.82</c:v>
                </c:pt>
                <c:pt idx="294">
                  <c:v>58.016666666666666</c:v>
                </c:pt>
                <c:pt idx="295">
                  <c:v>58.213333333333331</c:v>
                </c:pt>
                <c:pt idx="296">
                  <c:v>58.41</c:v>
                </c:pt>
                <c:pt idx="297">
                  <c:v>58.606666666666662</c:v>
                </c:pt>
                <c:pt idx="298">
                  <c:v>58.803333333333327</c:v>
                </c:pt>
                <c:pt idx="299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72-4386-8CEE-2B9C61516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316144"/>
        <c:axId val="1298305328"/>
      </c:scatterChart>
      <c:valAx>
        <c:axId val="129831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05328"/>
        <c:crosses val="autoZero"/>
        <c:crossBetween val="midCat"/>
      </c:valAx>
      <c:valAx>
        <c:axId val="1298305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1614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(training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LR_TrainingLiftChart2!$BE$4:$BE$13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LR_TrainingLiftChart2!$BF$4:$BF$13</c:f>
              <c:numCache>
                <c:formatCode>General</c:formatCode>
                <c:ptCount val="10"/>
                <c:pt idx="0">
                  <c:v>1.3559322033898307</c:v>
                </c:pt>
                <c:pt idx="1">
                  <c:v>1.1864406779661019</c:v>
                </c:pt>
                <c:pt idx="2">
                  <c:v>0.84745762711864414</c:v>
                </c:pt>
                <c:pt idx="3">
                  <c:v>0.84745762711864414</c:v>
                </c:pt>
                <c:pt idx="4">
                  <c:v>1.1864406779661019</c:v>
                </c:pt>
                <c:pt idx="5">
                  <c:v>0.50847457627118653</c:v>
                </c:pt>
                <c:pt idx="6">
                  <c:v>1.5254237288135595</c:v>
                </c:pt>
                <c:pt idx="7">
                  <c:v>1.1864406779661019</c:v>
                </c:pt>
                <c:pt idx="8">
                  <c:v>0.84745762711864414</c:v>
                </c:pt>
                <c:pt idx="9">
                  <c:v>0.50847457627118653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0-4766-9F9D-06C0F3AE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317808"/>
        <c:axId val="1298308656"/>
      </c:barChart>
      <c:catAx>
        <c:axId val="129831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08656"/>
        <c:crosses val="autoZero"/>
        <c:auto val="1"/>
        <c:lblAlgn val="ctr"/>
        <c:lblOffset val="100"/>
        <c:noMultiLvlLbl val="0"/>
      </c:catAx>
      <c:valAx>
        <c:axId val="1298308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17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0.520712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LR_TrainingLiftChart2!$BZ$2:$BZ$4</c:f>
              <c:numCache>
                <c:formatCode>General</c:formatCode>
                <c:ptCount val="3"/>
                <c:pt idx="0">
                  <c:v>0</c:v>
                </c:pt>
                <c:pt idx="1">
                  <c:v>0.75518672199170123</c:v>
                </c:pt>
                <c:pt idx="2">
                  <c:v>1</c:v>
                </c:pt>
              </c:numCache>
            </c:numRef>
          </c:xVal>
          <c:yVal>
            <c:numRef>
              <c:f>LR_TrainingLiftChart2!$CA$2:$CA$4</c:f>
              <c:numCache>
                <c:formatCode>General</c:formatCode>
                <c:ptCount val="3"/>
                <c:pt idx="0">
                  <c:v>0</c:v>
                </c:pt>
                <c:pt idx="1">
                  <c:v>0.79661016949152541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56-428D-A864-96E37D5E713B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LR_TrainingLiftChart2!$BZ$2:$BZ$4</c:f>
              <c:numCache>
                <c:formatCode>General</c:formatCode>
                <c:ptCount val="3"/>
                <c:pt idx="0">
                  <c:v>0</c:v>
                </c:pt>
                <c:pt idx="1">
                  <c:v>0.75518672199170123</c:v>
                </c:pt>
                <c:pt idx="2">
                  <c:v>1</c:v>
                </c:pt>
              </c:numCache>
            </c:numRef>
          </c:xVal>
          <c:yVal>
            <c:numRef>
              <c:f>LR_TrainingLiftChart2!$CB$2:$CB$4</c:f>
              <c:numCache>
                <c:formatCode>General</c:formatCode>
                <c:ptCount val="3"/>
                <c:pt idx="0">
                  <c:v>0</c:v>
                </c:pt>
                <c:pt idx="1">
                  <c:v>0.75518672199170123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56-428D-A864-96E37D5E7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316976"/>
        <c:axId val="1298305744"/>
      </c:scatterChart>
      <c:valAx>
        <c:axId val="129831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05744"/>
        <c:crosses val="autoZero"/>
        <c:crossBetween val="midCat"/>
      </c:valAx>
      <c:valAx>
        <c:axId val="1298305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169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(validation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Dropped when sorted using predicted values</c:v>
          </c:tx>
          <c:spPr>
            <a:ln w="6350"/>
          </c:spPr>
          <c:marker>
            <c:symbol val="none"/>
          </c:marker>
          <c:xVal>
            <c:numRef>
              <c:f>LR_ValidationLiftChart2!$AZ$4:$AZ$203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LR_ValidationLiftChart2!$BC$4:$BC$203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16</c:v>
                </c:pt>
                <c:pt idx="83">
                  <c:v>16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16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17</c:v>
                </c:pt>
                <c:pt idx="95">
                  <c:v>17</c:v>
                </c:pt>
                <c:pt idx="96">
                  <c:v>17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18</c:v>
                </c:pt>
                <c:pt idx="101">
                  <c:v>18</c:v>
                </c:pt>
                <c:pt idx="102">
                  <c:v>18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21</c:v>
                </c:pt>
                <c:pt idx="110">
                  <c:v>21</c:v>
                </c:pt>
                <c:pt idx="111">
                  <c:v>21</c:v>
                </c:pt>
                <c:pt idx="112">
                  <c:v>21</c:v>
                </c:pt>
                <c:pt idx="113">
                  <c:v>21</c:v>
                </c:pt>
                <c:pt idx="114">
                  <c:v>21</c:v>
                </c:pt>
                <c:pt idx="115">
                  <c:v>21</c:v>
                </c:pt>
                <c:pt idx="116">
                  <c:v>21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22</c:v>
                </c:pt>
                <c:pt idx="122">
                  <c:v>23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26</c:v>
                </c:pt>
                <c:pt idx="139">
                  <c:v>26</c:v>
                </c:pt>
                <c:pt idx="140">
                  <c:v>27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28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31</c:v>
                </c:pt>
                <c:pt idx="153">
                  <c:v>31</c:v>
                </c:pt>
                <c:pt idx="154">
                  <c:v>31</c:v>
                </c:pt>
                <c:pt idx="155">
                  <c:v>31</c:v>
                </c:pt>
                <c:pt idx="156">
                  <c:v>31</c:v>
                </c:pt>
                <c:pt idx="157">
                  <c:v>31</c:v>
                </c:pt>
                <c:pt idx="158">
                  <c:v>31</c:v>
                </c:pt>
                <c:pt idx="159">
                  <c:v>32</c:v>
                </c:pt>
                <c:pt idx="160">
                  <c:v>32</c:v>
                </c:pt>
                <c:pt idx="161">
                  <c:v>32</c:v>
                </c:pt>
                <c:pt idx="162">
                  <c:v>32</c:v>
                </c:pt>
                <c:pt idx="163">
                  <c:v>32</c:v>
                </c:pt>
                <c:pt idx="164">
                  <c:v>32</c:v>
                </c:pt>
                <c:pt idx="165">
                  <c:v>32</c:v>
                </c:pt>
                <c:pt idx="166">
                  <c:v>33</c:v>
                </c:pt>
                <c:pt idx="167">
                  <c:v>34</c:v>
                </c:pt>
                <c:pt idx="168">
                  <c:v>34</c:v>
                </c:pt>
                <c:pt idx="169">
                  <c:v>35</c:v>
                </c:pt>
                <c:pt idx="170">
                  <c:v>35</c:v>
                </c:pt>
                <c:pt idx="171">
                  <c:v>35</c:v>
                </c:pt>
                <c:pt idx="172">
                  <c:v>35</c:v>
                </c:pt>
                <c:pt idx="173">
                  <c:v>35</c:v>
                </c:pt>
                <c:pt idx="174">
                  <c:v>35</c:v>
                </c:pt>
                <c:pt idx="175">
                  <c:v>35</c:v>
                </c:pt>
                <c:pt idx="176">
                  <c:v>35</c:v>
                </c:pt>
                <c:pt idx="177">
                  <c:v>35</c:v>
                </c:pt>
                <c:pt idx="178">
                  <c:v>35</c:v>
                </c:pt>
                <c:pt idx="179">
                  <c:v>35</c:v>
                </c:pt>
                <c:pt idx="180">
                  <c:v>35</c:v>
                </c:pt>
                <c:pt idx="181">
                  <c:v>36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39</c:v>
                </c:pt>
                <c:pt idx="199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C9-43D6-904B-F76FAE5373C0}"/>
            </c:ext>
          </c:extLst>
        </c:ser>
        <c:ser>
          <c:idx val="1"/>
          <c:order val="1"/>
          <c:tx>
            <c:v>Cumulative Dropped using average</c:v>
          </c:tx>
          <c:spPr>
            <a:ln w="6350"/>
          </c:spPr>
          <c:marker>
            <c:symbol val="none"/>
          </c:marker>
          <c:xVal>
            <c:numRef>
              <c:f>LR_ValidationLiftChart2!$AZ$4:$AZ$203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LR_ValidationLiftChart2!$BD$4:$BD$203</c:f>
              <c:numCache>
                <c:formatCode>General</c:formatCode>
                <c:ptCount val="200"/>
                <c:pt idx="0">
                  <c:v>0.19500000000000001</c:v>
                </c:pt>
                <c:pt idx="1">
                  <c:v>0.39</c:v>
                </c:pt>
                <c:pt idx="2">
                  <c:v>0.58499999999999996</c:v>
                </c:pt>
                <c:pt idx="3">
                  <c:v>0.78</c:v>
                </c:pt>
                <c:pt idx="4">
                  <c:v>0.97500000000000009</c:v>
                </c:pt>
                <c:pt idx="5">
                  <c:v>1.17</c:v>
                </c:pt>
                <c:pt idx="6">
                  <c:v>1.365</c:v>
                </c:pt>
                <c:pt idx="7">
                  <c:v>1.56</c:v>
                </c:pt>
                <c:pt idx="8">
                  <c:v>1.7550000000000001</c:v>
                </c:pt>
                <c:pt idx="9">
                  <c:v>1.9500000000000002</c:v>
                </c:pt>
                <c:pt idx="10">
                  <c:v>2.145</c:v>
                </c:pt>
                <c:pt idx="11">
                  <c:v>2.34</c:v>
                </c:pt>
                <c:pt idx="12">
                  <c:v>2.5350000000000001</c:v>
                </c:pt>
                <c:pt idx="13">
                  <c:v>2.73</c:v>
                </c:pt>
                <c:pt idx="14">
                  <c:v>2.9250000000000003</c:v>
                </c:pt>
                <c:pt idx="15">
                  <c:v>3.12</c:v>
                </c:pt>
                <c:pt idx="16">
                  <c:v>3.3149999999999999</c:v>
                </c:pt>
                <c:pt idx="17">
                  <c:v>3.5100000000000002</c:v>
                </c:pt>
                <c:pt idx="18">
                  <c:v>3.7050000000000001</c:v>
                </c:pt>
                <c:pt idx="19">
                  <c:v>3.9000000000000004</c:v>
                </c:pt>
                <c:pt idx="20">
                  <c:v>4.0949999999999998</c:v>
                </c:pt>
                <c:pt idx="21">
                  <c:v>4.29</c:v>
                </c:pt>
                <c:pt idx="22">
                  <c:v>4.4850000000000003</c:v>
                </c:pt>
                <c:pt idx="23">
                  <c:v>4.68</c:v>
                </c:pt>
                <c:pt idx="24">
                  <c:v>4.875</c:v>
                </c:pt>
                <c:pt idx="25">
                  <c:v>5.07</c:v>
                </c:pt>
                <c:pt idx="26">
                  <c:v>5.2650000000000006</c:v>
                </c:pt>
                <c:pt idx="27">
                  <c:v>5.46</c:v>
                </c:pt>
                <c:pt idx="28">
                  <c:v>5.6550000000000002</c:v>
                </c:pt>
                <c:pt idx="29">
                  <c:v>5.8500000000000005</c:v>
                </c:pt>
                <c:pt idx="30">
                  <c:v>6.0449999999999999</c:v>
                </c:pt>
                <c:pt idx="31">
                  <c:v>6.24</c:v>
                </c:pt>
                <c:pt idx="32">
                  <c:v>6.4350000000000005</c:v>
                </c:pt>
                <c:pt idx="33">
                  <c:v>6.63</c:v>
                </c:pt>
                <c:pt idx="34">
                  <c:v>6.8250000000000002</c:v>
                </c:pt>
                <c:pt idx="35">
                  <c:v>7.0200000000000005</c:v>
                </c:pt>
                <c:pt idx="36">
                  <c:v>7.2149999999999999</c:v>
                </c:pt>
                <c:pt idx="37">
                  <c:v>7.41</c:v>
                </c:pt>
                <c:pt idx="38">
                  <c:v>7.6050000000000004</c:v>
                </c:pt>
                <c:pt idx="39">
                  <c:v>7.8000000000000007</c:v>
                </c:pt>
                <c:pt idx="40">
                  <c:v>7.9950000000000001</c:v>
                </c:pt>
                <c:pt idx="41">
                  <c:v>8.19</c:v>
                </c:pt>
                <c:pt idx="42">
                  <c:v>8.3849999999999998</c:v>
                </c:pt>
                <c:pt idx="43">
                  <c:v>8.58</c:v>
                </c:pt>
                <c:pt idx="44">
                  <c:v>8.7750000000000004</c:v>
                </c:pt>
                <c:pt idx="45">
                  <c:v>8.9700000000000006</c:v>
                </c:pt>
                <c:pt idx="46">
                  <c:v>9.1650000000000009</c:v>
                </c:pt>
                <c:pt idx="47">
                  <c:v>9.36</c:v>
                </c:pt>
                <c:pt idx="48">
                  <c:v>9.5549999999999997</c:v>
                </c:pt>
                <c:pt idx="49">
                  <c:v>9.75</c:v>
                </c:pt>
                <c:pt idx="50">
                  <c:v>9.9450000000000003</c:v>
                </c:pt>
                <c:pt idx="51">
                  <c:v>10.14</c:v>
                </c:pt>
                <c:pt idx="52">
                  <c:v>10.335000000000001</c:v>
                </c:pt>
                <c:pt idx="53">
                  <c:v>10.530000000000001</c:v>
                </c:pt>
                <c:pt idx="54">
                  <c:v>10.725</c:v>
                </c:pt>
                <c:pt idx="55">
                  <c:v>10.92</c:v>
                </c:pt>
                <c:pt idx="56">
                  <c:v>11.115</c:v>
                </c:pt>
                <c:pt idx="57">
                  <c:v>11.31</c:v>
                </c:pt>
                <c:pt idx="58">
                  <c:v>11.505000000000001</c:v>
                </c:pt>
                <c:pt idx="59">
                  <c:v>11.700000000000001</c:v>
                </c:pt>
                <c:pt idx="60">
                  <c:v>11.895</c:v>
                </c:pt>
                <c:pt idx="61">
                  <c:v>12.09</c:v>
                </c:pt>
                <c:pt idx="62">
                  <c:v>12.285</c:v>
                </c:pt>
                <c:pt idx="63">
                  <c:v>12.48</c:v>
                </c:pt>
                <c:pt idx="64">
                  <c:v>12.675000000000001</c:v>
                </c:pt>
                <c:pt idx="65">
                  <c:v>12.870000000000001</c:v>
                </c:pt>
                <c:pt idx="66">
                  <c:v>13.065000000000001</c:v>
                </c:pt>
                <c:pt idx="67">
                  <c:v>13.26</c:v>
                </c:pt>
                <c:pt idx="68">
                  <c:v>13.455</c:v>
                </c:pt>
                <c:pt idx="69">
                  <c:v>13.65</c:v>
                </c:pt>
                <c:pt idx="70">
                  <c:v>13.845000000000001</c:v>
                </c:pt>
                <c:pt idx="71">
                  <c:v>14.040000000000001</c:v>
                </c:pt>
                <c:pt idx="72">
                  <c:v>14.235000000000001</c:v>
                </c:pt>
                <c:pt idx="73">
                  <c:v>14.43</c:v>
                </c:pt>
                <c:pt idx="74">
                  <c:v>14.625</c:v>
                </c:pt>
                <c:pt idx="75">
                  <c:v>14.82</c:v>
                </c:pt>
                <c:pt idx="76">
                  <c:v>15.015000000000001</c:v>
                </c:pt>
                <c:pt idx="77">
                  <c:v>15.21</c:v>
                </c:pt>
                <c:pt idx="78">
                  <c:v>15.405000000000001</c:v>
                </c:pt>
                <c:pt idx="79">
                  <c:v>15.600000000000001</c:v>
                </c:pt>
                <c:pt idx="80">
                  <c:v>15.795</c:v>
                </c:pt>
                <c:pt idx="81">
                  <c:v>15.99</c:v>
                </c:pt>
                <c:pt idx="82">
                  <c:v>16.185000000000002</c:v>
                </c:pt>
                <c:pt idx="83">
                  <c:v>16.38</c:v>
                </c:pt>
                <c:pt idx="84">
                  <c:v>16.574999999999999</c:v>
                </c:pt>
                <c:pt idx="85">
                  <c:v>16.77</c:v>
                </c:pt>
                <c:pt idx="86">
                  <c:v>16.965</c:v>
                </c:pt>
                <c:pt idx="87">
                  <c:v>17.16</c:v>
                </c:pt>
                <c:pt idx="88">
                  <c:v>17.355</c:v>
                </c:pt>
                <c:pt idx="89">
                  <c:v>17.55</c:v>
                </c:pt>
                <c:pt idx="90">
                  <c:v>17.745000000000001</c:v>
                </c:pt>
                <c:pt idx="91">
                  <c:v>17.940000000000001</c:v>
                </c:pt>
                <c:pt idx="92">
                  <c:v>18.135000000000002</c:v>
                </c:pt>
                <c:pt idx="93">
                  <c:v>18.330000000000002</c:v>
                </c:pt>
                <c:pt idx="94">
                  <c:v>18.525000000000002</c:v>
                </c:pt>
                <c:pt idx="95">
                  <c:v>18.72</c:v>
                </c:pt>
                <c:pt idx="96">
                  <c:v>18.914999999999999</c:v>
                </c:pt>
                <c:pt idx="97">
                  <c:v>19.11</c:v>
                </c:pt>
                <c:pt idx="98">
                  <c:v>19.305</c:v>
                </c:pt>
                <c:pt idx="99">
                  <c:v>19.5</c:v>
                </c:pt>
                <c:pt idx="100">
                  <c:v>19.695</c:v>
                </c:pt>
                <c:pt idx="101">
                  <c:v>19.89</c:v>
                </c:pt>
                <c:pt idx="102">
                  <c:v>20.085000000000001</c:v>
                </c:pt>
                <c:pt idx="103">
                  <c:v>20.28</c:v>
                </c:pt>
                <c:pt idx="104">
                  <c:v>20.475000000000001</c:v>
                </c:pt>
                <c:pt idx="105">
                  <c:v>20.67</c:v>
                </c:pt>
                <c:pt idx="106">
                  <c:v>20.865000000000002</c:v>
                </c:pt>
                <c:pt idx="107">
                  <c:v>21.060000000000002</c:v>
                </c:pt>
                <c:pt idx="108">
                  <c:v>21.254999999999999</c:v>
                </c:pt>
                <c:pt idx="109">
                  <c:v>21.45</c:v>
                </c:pt>
                <c:pt idx="110">
                  <c:v>21.645</c:v>
                </c:pt>
                <c:pt idx="111">
                  <c:v>21.84</c:v>
                </c:pt>
                <c:pt idx="112">
                  <c:v>22.035</c:v>
                </c:pt>
                <c:pt idx="113">
                  <c:v>22.23</c:v>
                </c:pt>
                <c:pt idx="114">
                  <c:v>22.425000000000001</c:v>
                </c:pt>
                <c:pt idx="115">
                  <c:v>22.62</c:v>
                </c:pt>
                <c:pt idx="116">
                  <c:v>22.815000000000001</c:v>
                </c:pt>
                <c:pt idx="117">
                  <c:v>23.01</c:v>
                </c:pt>
                <c:pt idx="118">
                  <c:v>23.205000000000002</c:v>
                </c:pt>
                <c:pt idx="119">
                  <c:v>23.400000000000002</c:v>
                </c:pt>
                <c:pt idx="120">
                  <c:v>23.595000000000002</c:v>
                </c:pt>
                <c:pt idx="121">
                  <c:v>23.79</c:v>
                </c:pt>
                <c:pt idx="122">
                  <c:v>23.984999999999999</c:v>
                </c:pt>
                <c:pt idx="123">
                  <c:v>24.18</c:v>
                </c:pt>
                <c:pt idx="124">
                  <c:v>24.375</c:v>
                </c:pt>
                <c:pt idx="125">
                  <c:v>24.57</c:v>
                </c:pt>
                <c:pt idx="126">
                  <c:v>24.765000000000001</c:v>
                </c:pt>
                <c:pt idx="127">
                  <c:v>24.96</c:v>
                </c:pt>
                <c:pt idx="128">
                  <c:v>25.155000000000001</c:v>
                </c:pt>
                <c:pt idx="129">
                  <c:v>25.35</c:v>
                </c:pt>
                <c:pt idx="130">
                  <c:v>25.545000000000002</c:v>
                </c:pt>
                <c:pt idx="131">
                  <c:v>25.740000000000002</c:v>
                </c:pt>
                <c:pt idx="132">
                  <c:v>25.935000000000002</c:v>
                </c:pt>
                <c:pt idx="133">
                  <c:v>26.130000000000003</c:v>
                </c:pt>
                <c:pt idx="134">
                  <c:v>26.324999999999999</c:v>
                </c:pt>
                <c:pt idx="135">
                  <c:v>26.52</c:v>
                </c:pt>
                <c:pt idx="136">
                  <c:v>26.715</c:v>
                </c:pt>
                <c:pt idx="137">
                  <c:v>26.91</c:v>
                </c:pt>
                <c:pt idx="138">
                  <c:v>27.105</c:v>
                </c:pt>
                <c:pt idx="139">
                  <c:v>27.3</c:v>
                </c:pt>
                <c:pt idx="140">
                  <c:v>27.495000000000001</c:v>
                </c:pt>
                <c:pt idx="141">
                  <c:v>27.69</c:v>
                </c:pt>
                <c:pt idx="142">
                  <c:v>27.885000000000002</c:v>
                </c:pt>
                <c:pt idx="143">
                  <c:v>28.080000000000002</c:v>
                </c:pt>
                <c:pt idx="144">
                  <c:v>28.275000000000002</c:v>
                </c:pt>
                <c:pt idx="145">
                  <c:v>28.470000000000002</c:v>
                </c:pt>
                <c:pt idx="146">
                  <c:v>28.665000000000003</c:v>
                </c:pt>
                <c:pt idx="147">
                  <c:v>28.86</c:v>
                </c:pt>
                <c:pt idx="148">
                  <c:v>29.055</c:v>
                </c:pt>
                <c:pt idx="149">
                  <c:v>29.25</c:v>
                </c:pt>
                <c:pt idx="150">
                  <c:v>29.445</c:v>
                </c:pt>
                <c:pt idx="151">
                  <c:v>29.64</c:v>
                </c:pt>
                <c:pt idx="152">
                  <c:v>29.835000000000001</c:v>
                </c:pt>
                <c:pt idx="153">
                  <c:v>30.03</c:v>
                </c:pt>
                <c:pt idx="154">
                  <c:v>30.225000000000001</c:v>
                </c:pt>
                <c:pt idx="155">
                  <c:v>30.42</c:v>
                </c:pt>
                <c:pt idx="156">
                  <c:v>30.615000000000002</c:v>
                </c:pt>
                <c:pt idx="157">
                  <c:v>30.810000000000002</c:v>
                </c:pt>
                <c:pt idx="158">
                  <c:v>31.005000000000003</c:v>
                </c:pt>
                <c:pt idx="159">
                  <c:v>31.200000000000003</c:v>
                </c:pt>
                <c:pt idx="160">
                  <c:v>31.395</c:v>
                </c:pt>
                <c:pt idx="161">
                  <c:v>31.59</c:v>
                </c:pt>
                <c:pt idx="162">
                  <c:v>31.785</c:v>
                </c:pt>
                <c:pt idx="163">
                  <c:v>31.98</c:v>
                </c:pt>
                <c:pt idx="164">
                  <c:v>32.175000000000004</c:v>
                </c:pt>
                <c:pt idx="165">
                  <c:v>32.370000000000005</c:v>
                </c:pt>
                <c:pt idx="166">
                  <c:v>32.564999999999998</c:v>
                </c:pt>
                <c:pt idx="167">
                  <c:v>32.76</c:v>
                </c:pt>
                <c:pt idx="168">
                  <c:v>32.954999999999998</c:v>
                </c:pt>
                <c:pt idx="169">
                  <c:v>33.15</c:v>
                </c:pt>
                <c:pt idx="170">
                  <c:v>33.344999999999999</c:v>
                </c:pt>
                <c:pt idx="171">
                  <c:v>33.54</c:v>
                </c:pt>
                <c:pt idx="172">
                  <c:v>33.734999999999999</c:v>
                </c:pt>
                <c:pt idx="173">
                  <c:v>33.93</c:v>
                </c:pt>
                <c:pt idx="174">
                  <c:v>34.125</c:v>
                </c:pt>
                <c:pt idx="175">
                  <c:v>34.32</c:v>
                </c:pt>
                <c:pt idx="176">
                  <c:v>34.515000000000001</c:v>
                </c:pt>
                <c:pt idx="177">
                  <c:v>34.71</c:v>
                </c:pt>
                <c:pt idx="178">
                  <c:v>34.905000000000001</c:v>
                </c:pt>
                <c:pt idx="179">
                  <c:v>35.1</c:v>
                </c:pt>
                <c:pt idx="180">
                  <c:v>35.295000000000002</c:v>
                </c:pt>
                <c:pt idx="181">
                  <c:v>35.49</c:v>
                </c:pt>
                <c:pt idx="182">
                  <c:v>35.685000000000002</c:v>
                </c:pt>
                <c:pt idx="183">
                  <c:v>35.880000000000003</c:v>
                </c:pt>
                <c:pt idx="184">
                  <c:v>36.075000000000003</c:v>
                </c:pt>
                <c:pt idx="185">
                  <c:v>36.270000000000003</c:v>
                </c:pt>
                <c:pt idx="186">
                  <c:v>36.465000000000003</c:v>
                </c:pt>
                <c:pt idx="187">
                  <c:v>36.660000000000004</c:v>
                </c:pt>
                <c:pt idx="188">
                  <c:v>36.855000000000004</c:v>
                </c:pt>
                <c:pt idx="189">
                  <c:v>37.050000000000004</c:v>
                </c:pt>
                <c:pt idx="190">
                  <c:v>37.245000000000005</c:v>
                </c:pt>
                <c:pt idx="191">
                  <c:v>37.44</c:v>
                </c:pt>
                <c:pt idx="192">
                  <c:v>37.634999999999998</c:v>
                </c:pt>
                <c:pt idx="193">
                  <c:v>37.83</c:v>
                </c:pt>
                <c:pt idx="194">
                  <c:v>38.024999999999999</c:v>
                </c:pt>
                <c:pt idx="195">
                  <c:v>38.22</c:v>
                </c:pt>
                <c:pt idx="196">
                  <c:v>38.414999999999999</c:v>
                </c:pt>
                <c:pt idx="197">
                  <c:v>38.61</c:v>
                </c:pt>
                <c:pt idx="198">
                  <c:v>38.805</c:v>
                </c:pt>
                <c:pt idx="199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C9-43D6-904B-F76FAE537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308240"/>
        <c:axId val="1298309488"/>
      </c:scatterChart>
      <c:valAx>
        <c:axId val="129830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09488"/>
        <c:crosses val="autoZero"/>
        <c:crossBetween val="midCat"/>
      </c:valAx>
      <c:valAx>
        <c:axId val="1298309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082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(validation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LR_ValidationLiftChart2!$BE$4:$BE$13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LR_ValidationLiftChart2!$BF$4:$BF$13</c:f>
              <c:numCache>
                <c:formatCode>General</c:formatCode>
                <c:ptCount val="10"/>
                <c:pt idx="0">
                  <c:v>0.25641025641025639</c:v>
                </c:pt>
                <c:pt idx="1">
                  <c:v>1.0256410256410255</c:v>
                </c:pt>
                <c:pt idx="2">
                  <c:v>0.76923076923076916</c:v>
                </c:pt>
                <c:pt idx="3">
                  <c:v>1.7948717948717947</c:v>
                </c:pt>
                <c:pt idx="4">
                  <c:v>0.51282051282051277</c:v>
                </c:pt>
                <c:pt idx="5">
                  <c:v>1.2820512820512819</c:v>
                </c:pt>
                <c:pt idx="6">
                  <c:v>1.0256410256410255</c:v>
                </c:pt>
                <c:pt idx="7">
                  <c:v>1.5384615384615383</c:v>
                </c:pt>
                <c:pt idx="8">
                  <c:v>0.76923076923076916</c:v>
                </c:pt>
                <c:pt idx="9">
                  <c:v>1.0256410256410255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3-48A6-809C-FECC8C956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307824"/>
        <c:axId val="1298311152"/>
      </c:barChart>
      <c:catAx>
        <c:axId val="129830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11152"/>
        <c:crosses val="autoZero"/>
        <c:auto val="1"/>
        <c:lblAlgn val="ctr"/>
        <c:lblOffset val="100"/>
        <c:noMultiLvlLbl val="0"/>
      </c:catAx>
      <c:valAx>
        <c:axId val="12983111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07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0.512741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LR_ValidationLiftChart2!$BZ$2:$BZ$4</c:f>
              <c:numCache>
                <c:formatCode>General</c:formatCode>
                <c:ptCount val="3"/>
                <c:pt idx="0">
                  <c:v>0</c:v>
                </c:pt>
                <c:pt idx="1">
                  <c:v>0.79503105590062106</c:v>
                </c:pt>
                <c:pt idx="2">
                  <c:v>1</c:v>
                </c:pt>
              </c:numCache>
            </c:numRef>
          </c:xVal>
          <c:yVal>
            <c:numRef>
              <c:f>LR_ValidationLiftChart2!$CA$2:$CA$4</c:f>
              <c:numCache>
                <c:formatCode>General</c:formatCode>
                <c:ptCount val="3"/>
                <c:pt idx="0">
                  <c:v>0</c:v>
                </c:pt>
                <c:pt idx="1">
                  <c:v>0.82051282051282048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27-4892-B58E-CBB8083F98C2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LR_ValidationLiftChart2!$BZ$2:$BZ$4</c:f>
              <c:numCache>
                <c:formatCode>General</c:formatCode>
                <c:ptCount val="3"/>
                <c:pt idx="0">
                  <c:v>0</c:v>
                </c:pt>
                <c:pt idx="1">
                  <c:v>0.79503105590062106</c:v>
                </c:pt>
                <c:pt idx="2">
                  <c:v>1</c:v>
                </c:pt>
              </c:numCache>
            </c:numRef>
          </c:xVal>
          <c:yVal>
            <c:numRef>
              <c:f>LR_ValidationLiftChart2!$CB$2:$CB$4</c:f>
              <c:numCache>
                <c:formatCode>General</c:formatCode>
                <c:ptCount val="3"/>
                <c:pt idx="0">
                  <c:v>0</c:v>
                </c:pt>
                <c:pt idx="1">
                  <c:v>0.79503105590062106</c:v>
                </c:pt>
                <c:pt idx="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27-4892-B58E-CBB8083F9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315312"/>
        <c:axId val="1298317392"/>
      </c:scatterChart>
      <c:valAx>
        <c:axId val="129831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17392"/>
        <c:crosses val="autoZero"/>
        <c:crossBetween val="midCat"/>
      </c:valAx>
      <c:valAx>
        <c:axId val="1298317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983153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(training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Dropped when sorted using predicted values</c:v>
          </c:tx>
          <c:spPr>
            <a:ln w="6350"/>
          </c:spPr>
          <c:marker>
            <c:symbol val="none"/>
          </c:marker>
          <c:xVal>
            <c:numRef>
              <c:f>LR_TrainingLiftChart1!$AZ$4:$AZ$303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LR_TrainingLiftChart1!$BC$4:$BC$303</c:f>
              <c:numCache>
                <c:formatCode>General</c:formatCode>
                <c:ptCount val="3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13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17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19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21</c:v>
                </c:pt>
                <c:pt idx="116">
                  <c:v>22</c:v>
                </c:pt>
                <c:pt idx="117">
                  <c:v>23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25</c:v>
                </c:pt>
                <c:pt idx="122">
                  <c:v>25</c:v>
                </c:pt>
                <c:pt idx="123">
                  <c:v>25</c:v>
                </c:pt>
                <c:pt idx="124">
                  <c:v>26</c:v>
                </c:pt>
                <c:pt idx="125">
                  <c:v>26</c:v>
                </c:pt>
                <c:pt idx="126">
                  <c:v>26</c:v>
                </c:pt>
                <c:pt idx="127">
                  <c:v>26</c:v>
                </c:pt>
                <c:pt idx="128">
                  <c:v>26</c:v>
                </c:pt>
                <c:pt idx="129">
                  <c:v>27</c:v>
                </c:pt>
                <c:pt idx="130">
                  <c:v>27</c:v>
                </c:pt>
                <c:pt idx="131">
                  <c:v>27</c:v>
                </c:pt>
                <c:pt idx="132">
                  <c:v>27</c:v>
                </c:pt>
                <c:pt idx="133">
                  <c:v>27</c:v>
                </c:pt>
                <c:pt idx="134">
                  <c:v>28</c:v>
                </c:pt>
                <c:pt idx="135">
                  <c:v>29</c:v>
                </c:pt>
                <c:pt idx="136">
                  <c:v>29</c:v>
                </c:pt>
                <c:pt idx="137">
                  <c:v>30</c:v>
                </c:pt>
                <c:pt idx="138">
                  <c:v>31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32</c:v>
                </c:pt>
                <c:pt idx="143">
                  <c:v>32</c:v>
                </c:pt>
                <c:pt idx="144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34</c:v>
                </c:pt>
                <c:pt idx="152">
                  <c:v>35</c:v>
                </c:pt>
                <c:pt idx="153">
                  <c:v>36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39</c:v>
                </c:pt>
                <c:pt idx="164">
                  <c:v>39</c:v>
                </c:pt>
                <c:pt idx="165">
                  <c:v>39</c:v>
                </c:pt>
                <c:pt idx="166">
                  <c:v>39</c:v>
                </c:pt>
                <c:pt idx="167">
                  <c:v>40</c:v>
                </c:pt>
                <c:pt idx="168">
                  <c:v>40</c:v>
                </c:pt>
                <c:pt idx="169">
                  <c:v>40</c:v>
                </c:pt>
                <c:pt idx="170">
                  <c:v>41</c:v>
                </c:pt>
                <c:pt idx="171">
                  <c:v>41</c:v>
                </c:pt>
                <c:pt idx="172">
                  <c:v>41</c:v>
                </c:pt>
                <c:pt idx="173">
                  <c:v>42</c:v>
                </c:pt>
                <c:pt idx="174">
                  <c:v>42</c:v>
                </c:pt>
                <c:pt idx="175">
                  <c:v>42</c:v>
                </c:pt>
                <c:pt idx="176">
                  <c:v>43</c:v>
                </c:pt>
                <c:pt idx="177">
                  <c:v>43</c:v>
                </c:pt>
                <c:pt idx="178">
                  <c:v>44</c:v>
                </c:pt>
                <c:pt idx="179">
                  <c:v>45</c:v>
                </c:pt>
                <c:pt idx="180">
                  <c:v>46</c:v>
                </c:pt>
                <c:pt idx="181">
                  <c:v>47</c:v>
                </c:pt>
                <c:pt idx="182">
                  <c:v>48</c:v>
                </c:pt>
                <c:pt idx="183">
                  <c:v>49</c:v>
                </c:pt>
                <c:pt idx="184">
                  <c:v>49</c:v>
                </c:pt>
                <c:pt idx="185">
                  <c:v>49</c:v>
                </c:pt>
                <c:pt idx="186">
                  <c:v>49</c:v>
                </c:pt>
                <c:pt idx="187">
                  <c:v>49</c:v>
                </c:pt>
                <c:pt idx="188">
                  <c:v>50</c:v>
                </c:pt>
                <c:pt idx="189">
                  <c:v>51</c:v>
                </c:pt>
                <c:pt idx="190">
                  <c:v>52</c:v>
                </c:pt>
                <c:pt idx="191">
                  <c:v>53</c:v>
                </c:pt>
                <c:pt idx="192">
                  <c:v>53</c:v>
                </c:pt>
                <c:pt idx="193">
                  <c:v>54</c:v>
                </c:pt>
                <c:pt idx="194">
                  <c:v>54</c:v>
                </c:pt>
                <c:pt idx="195">
                  <c:v>54</c:v>
                </c:pt>
                <c:pt idx="196">
                  <c:v>54</c:v>
                </c:pt>
                <c:pt idx="197">
                  <c:v>54</c:v>
                </c:pt>
                <c:pt idx="198">
                  <c:v>54</c:v>
                </c:pt>
                <c:pt idx="199">
                  <c:v>54</c:v>
                </c:pt>
                <c:pt idx="200">
                  <c:v>54</c:v>
                </c:pt>
                <c:pt idx="201">
                  <c:v>54</c:v>
                </c:pt>
                <c:pt idx="202">
                  <c:v>54</c:v>
                </c:pt>
                <c:pt idx="203">
                  <c:v>54</c:v>
                </c:pt>
                <c:pt idx="204">
                  <c:v>55</c:v>
                </c:pt>
                <c:pt idx="205">
                  <c:v>55</c:v>
                </c:pt>
                <c:pt idx="206">
                  <c:v>55</c:v>
                </c:pt>
                <c:pt idx="207">
                  <c:v>55</c:v>
                </c:pt>
                <c:pt idx="208">
                  <c:v>56</c:v>
                </c:pt>
                <c:pt idx="209">
                  <c:v>56</c:v>
                </c:pt>
                <c:pt idx="210">
                  <c:v>56</c:v>
                </c:pt>
                <c:pt idx="211">
                  <c:v>56</c:v>
                </c:pt>
                <c:pt idx="212">
                  <c:v>56</c:v>
                </c:pt>
                <c:pt idx="213">
                  <c:v>56</c:v>
                </c:pt>
                <c:pt idx="214">
                  <c:v>56</c:v>
                </c:pt>
                <c:pt idx="215">
                  <c:v>56</c:v>
                </c:pt>
                <c:pt idx="216">
                  <c:v>57</c:v>
                </c:pt>
                <c:pt idx="217">
                  <c:v>57</c:v>
                </c:pt>
                <c:pt idx="218">
                  <c:v>57</c:v>
                </c:pt>
                <c:pt idx="219">
                  <c:v>57</c:v>
                </c:pt>
                <c:pt idx="220">
                  <c:v>57</c:v>
                </c:pt>
                <c:pt idx="221">
                  <c:v>57</c:v>
                </c:pt>
                <c:pt idx="222">
                  <c:v>57</c:v>
                </c:pt>
                <c:pt idx="223">
                  <c:v>57</c:v>
                </c:pt>
                <c:pt idx="224">
                  <c:v>57</c:v>
                </c:pt>
                <c:pt idx="225">
                  <c:v>57</c:v>
                </c:pt>
                <c:pt idx="226">
                  <c:v>57</c:v>
                </c:pt>
                <c:pt idx="227">
                  <c:v>57</c:v>
                </c:pt>
                <c:pt idx="228">
                  <c:v>57</c:v>
                </c:pt>
                <c:pt idx="229">
                  <c:v>57</c:v>
                </c:pt>
                <c:pt idx="230">
                  <c:v>58</c:v>
                </c:pt>
                <c:pt idx="231">
                  <c:v>58</c:v>
                </c:pt>
                <c:pt idx="232">
                  <c:v>58</c:v>
                </c:pt>
                <c:pt idx="233">
                  <c:v>58</c:v>
                </c:pt>
                <c:pt idx="234">
                  <c:v>58</c:v>
                </c:pt>
                <c:pt idx="235">
                  <c:v>58</c:v>
                </c:pt>
                <c:pt idx="236">
                  <c:v>58</c:v>
                </c:pt>
                <c:pt idx="237">
                  <c:v>58</c:v>
                </c:pt>
                <c:pt idx="238">
                  <c:v>58</c:v>
                </c:pt>
                <c:pt idx="239">
                  <c:v>58</c:v>
                </c:pt>
                <c:pt idx="240">
                  <c:v>58</c:v>
                </c:pt>
                <c:pt idx="241">
                  <c:v>59</c:v>
                </c:pt>
                <c:pt idx="242">
                  <c:v>59</c:v>
                </c:pt>
                <c:pt idx="243">
                  <c:v>59</c:v>
                </c:pt>
                <c:pt idx="244">
                  <c:v>59</c:v>
                </c:pt>
                <c:pt idx="245">
                  <c:v>59</c:v>
                </c:pt>
                <c:pt idx="246">
                  <c:v>59</c:v>
                </c:pt>
                <c:pt idx="247">
                  <c:v>59</c:v>
                </c:pt>
                <c:pt idx="248">
                  <c:v>59</c:v>
                </c:pt>
                <c:pt idx="249">
                  <c:v>59</c:v>
                </c:pt>
                <c:pt idx="250">
                  <c:v>59</c:v>
                </c:pt>
                <c:pt idx="251">
                  <c:v>59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59</c:v>
                </c:pt>
                <c:pt idx="256">
                  <c:v>59</c:v>
                </c:pt>
                <c:pt idx="257">
                  <c:v>59</c:v>
                </c:pt>
                <c:pt idx="258">
                  <c:v>59</c:v>
                </c:pt>
                <c:pt idx="259">
                  <c:v>59</c:v>
                </c:pt>
                <c:pt idx="260">
                  <c:v>59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59</c:v>
                </c:pt>
                <c:pt idx="290">
                  <c:v>59</c:v>
                </c:pt>
                <c:pt idx="291">
                  <c:v>59</c:v>
                </c:pt>
                <c:pt idx="292">
                  <c:v>59</c:v>
                </c:pt>
                <c:pt idx="293">
                  <c:v>59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59</c:v>
                </c:pt>
                <c:pt idx="298">
                  <c:v>59</c:v>
                </c:pt>
                <c:pt idx="299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3D-457A-BC56-42C0052DFCD1}"/>
            </c:ext>
          </c:extLst>
        </c:ser>
        <c:ser>
          <c:idx val="1"/>
          <c:order val="1"/>
          <c:tx>
            <c:v>Cumulative Dropped using average</c:v>
          </c:tx>
          <c:spPr>
            <a:ln w="6350"/>
          </c:spPr>
          <c:marker>
            <c:symbol val="none"/>
          </c:marker>
          <c:xVal>
            <c:numRef>
              <c:f>LR_TrainingLiftChart1!$AZ$4:$AZ$303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LR_TrainingLiftChart1!$BD$4:$BD$303</c:f>
              <c:numCache>
                <c:formatCode>General</c:formatCode>
                <c:ptCount val="300"/>
                <c:pt idx="0">
                  <c:v>0.19666666666666666</c:v>
                </c:pt>
                <c:pt idx="1">
                  <c:v>0.39333333333333331</c:v>
                </c:pt>
                <c:pt idx="2">
                  <c:v>0.59</c:v>
                </c:pt>
                <c:pt idx="3">
                  <c:v>0.78666666666666663</c:v>
                </c:pt>
                <c:pt idx="4">
                  <c:v>0.98333333333333328</c:v>
                </c:pt>
                <c:pt idx="5">
                  <c:v>1.18</c:v>
                </c:pt>
                <c:pt idx="6">
                  <c:v>1.3766666666666665</c:v>
                </c:pt>
                <c:pt idx="7">
                  <c:v>1.5733333333333333</c:v>
                </c:pt>
                <c:pt idx="8">
                  <c:v>1.77</c:v>
                </c:pt>
                <c:pt idx="9">
                  <c:v>1.9666666666666666</c:v>
                </c:pt>
                <c:pt idx="10">
                  <c:v>2.1633333333333331</c:v>
                </c:pt>
                <c:pt idx="11">
                  <c:v>2.36</c:v>
                </c:pt>
                <c:pt idx="12">
                  <c:v>2.5566666666666666</c:v>
                </c:pt>
                <c:pt idx="13">
                  <c:v>2.753333333333333</c:v>
                </c:pt>
                <c:pt idx="14">
                  <c:v>2.9499999999999997</c:v>
                </c:pt>
                <c:pt idx="15">
                  <c:v>3.1466666666666665</c:v>
                </c:pt>
                <c:pt idx="16">
                  <c:v>3.3433333333333333</c:v>
                </c:pt>
                <c:pt idx="17">
                  <c:v>3.54</c:v>
                </c:pt>
                <c:pt idx="18">
                  <c:v>3.7366666666666664</c:v>
                </c:pt>
                <c:pt idx="19">
                  <c:v>3.9333333333333331</c:v>
                </c:pt>
                <c:pt idx="20">
                  <c:v>4.13</c:v>
                </c:pt>
                <c:pt idx="21">
                  <c:v>4.3266666666666662</c:v>
                </c:pt>
                <c:pt idx="22">
                  <c:v>4.5233333333333334</c:v>
                </c:pt>
                <c:pt idx="23">
                  <c:v>4.72</c:v>
                </c:pt>
                <c:pt idx="24">
                  <c:v>4.9166666666666661</c:v>
                </c:pt>
                <c:pt idx="25">
                  <c:v>5.1133333333333333</c:v>
                </c:pt>
                <c:pt idx="26">
                  <c:v>5.31</c:v>
                </c:pt>
                <c:pt idx="27">
                  <c:v>5.5066666666666659</c:v>
                </c:pt>
                <c:pt idx="28">
                  <c:v>5.7033333333333331</c:v>
                </c:pt>
                <c:pt idx="29">
                  <c:v>5.8999999999999995</c:v>
                </c:pt>
                <c:pt idx="30">
                  <c:v>6.0966666666666667</c:v>
                </c:pt>
                <c:pt idx="31">
                  <c:v>6.293333333333333</c:v>
                </c:pt>
                <c:pt idx="32">
                  <c:v>6.4899999999999993</c:v>
                </c:pt>
                <c:pt idx="33">
                  <c:v>6.6866666666666665</c:v>
                </c:pt>
                <c:pt idx="34">
                  <c:v>6.8833333333333329</c:v>
                </c:pt>
                <c:pt idx="35">
                  <c:v>7.08</c:v>
                </c:pt>
                <c:pt idx="36">
                  <c:v>7.2766666666666664</c:v>
                </c:pt>
                <c:pt idx="37">
                  <c:v>7.4733333333333327</c:v>
                </c:pt>
                <c:pt idx="38">
                  <c:v>7.67</c:v>
                </c:pt>
                <c:pt idx="39">
                  <c:v>7.8666666666666663</c:v>
                </c:pt>
                <c:pt idx="40">
                  <c:v>8.0633333333333326</c:v>
                </c:pt>
                <c:pt idx="41">
                  <c:v>8.26</c:v>
                </c:pt>
                <c:pt idx="42">
                  <c:v>8.456666666666667</c:v>
                </c:pt>
                <c:pt idx="43">
                  <c:v>8.6533333333333324</c:v>
                </c:pt>
                <c:pt idx="44">
                  <c:v>8.85</c:v>
                </c:pt>
                <c:pt idx="45">
                  <c:v>9.0466666666666669</c:v>
                </c:pt>
                <c:pt idx="46">
                  <c:v>9.2433333333333323</c:v>
                </c:pt>
                <c:pt idx="47">
                  <c:v>9.44</c:v>
                </c:pt>
                <c:pt idx="48">
                  <c:v>9.6366666666666667</c:v>
                </c:pt>
                <c:pt idx="49">
                  <c:v>9.8333333333333321</c:v>
                </c:pt>
                <c:pt idx="50">
                  <c:v>10.029999999999999</c:v>
                </c:pt>
                <c:pt idx="51">
                  <c:v>10.226666666666667</c:v>
                </c:pt>
                <c:pt idx="52">
                  <c:v>10.423333333333332</c:v>
                </c:pt>
                <c:pt idx="53">
                  <c:v>10.62</c:v>
                </c:pt>
                <c:pt idx="54">
                  <c:v>10.816666666666666</c:v>
                </c:pt>
                <c:pt idx="55">
                  <c:v>11.013333333333332</c:v>
                </c:pt>
                <c:pt idx="56">
                  <c:v>11.209999999999999</c:v>
                </c:pt>
                <c:pt idx="57">
                  <c:v>11.406666666666666</c:v>
                </c:pt>
                <c:pt idx="58">
                  <c:v>11.603333333333333</c:v>
                </c:pt>
                <c:pt idx="59">
                  <c:v>11.799999999999999</c:v>
                </c:pt>
                <c:pt idx="60">
                  <c:v>11.996666666666666</c:v>
                </c:pt>
                <c:pt idx="61">
                  <c:v>12.193333333333333</c:v>
                </c:pt>
                <c:pt idx="62">
                  <c:v>12.389999999999999</c:v>
                </c:pt>
                <c:pt idx="63">
                  <c:v>12.586666666666666</c:v>
                </c:pt>
                <c:pt idx="64">
                  <c:v>12.783333333333333</c:v>
                </c:pt>
                <c:pt idx="65">
                  <c:v>12.979999999999999</c:v>
                </c:pt>
                <c:pt idx="66">
                  <c:v>13.176666666666666</c:v>
                </c:pt>
                <c:pt idx="67">
                  <c:v>13.373333333333333</c:v>
                </c:pt>
                <c:pt idx="68">
                  <c:v>13.569999999999999</c:v>
                </c:pt>
                <c:pt idx="69">
                  <c:v>13.766666666666666</c:v>
                </c:pt>
                <c:pt idx="70">
                  <c:v>13.963333333333333</c:v>
                </c:pt>
                <c:pt idx="71">
                  <c:v>14.16</c:v>
                </c:pt>
                <c:pt idx="72">
                  <c:v>14.356666666666666</c:v>
                </c:pt>
                <c:pt idx="73">
                  <c:v>14.553333333333333</c:v>
                </c:pt>
                <c:pt idx="74">
                  <c:v>14.75</c:v>
                </c:pt>
                <c:pt idx="75">
                  <c:v>14.946666666666665</c:v>
                </c:pt>
                <c:pt idx="76">
                  <c:v>15.143333333333333</c:v>
                </c:pt>
                <c:pt idx="77">
                  <c:v>15.34</c:v>
                </c:pt>
                <c:pt idx="78">
                  <c:v>15.536666666666665</c:v>
                </c:pt>
                <c:pt idx="79">
                  <c:v>15.733333333333333</c:v>
                </c:pt>
                <c:pt idx="80">
                  <c:v>15.93</c:v>
                </c:pt>
                <c:pt idx="81">
                  <c:v>16.126666666666665</c:v>
                </c:pt>
                <c:pt idx="82">
                  <c:v>16.323333333333334</c:v>
                </c:pt>
                <c:pt idx="83">
                  <c:v>16.52</c:v>
                </c:pt>
                <c:pt idx="84">
                  <c:v>16.716666666666665</c:v>
                </c:pt>
                <c:pt idx="85">
                  <c:v>16.913333333333334</c:v>
                </c:pt>
                <c:pt idx="86">
                  <c:v>17.11</c:v>
                </c:pt>
                <c:pt idx="87">
                  <c:v>17.306666666666665</c:v>
                </c:pt>
                <c:pt idx="88">
                  <c:v>17.503333333333334</c:v>
                </c:pt>
                <c:pt idx="89">
                  <c:v>17.7</c:v>
                </c:pt>
                <c:pt idx="90">
                  <c:v>17.896666666666665</c:v>
                </c:pt>
                <c:pt idx="91">
                  <c:v>18.093333333333334</c:v>
                </c:pt>
                <c:pt idx="92">
                  <c:v>18.29</c:v>
                </c:pt>
                <c:pt idx="93">
                  <c:v>18.486666666666665</c:v>
                </c:pt>
                <c:pt idx="94">
                  <c:v>18.683333333333334</c:v>
                </c:pt>
                <c:pt idx="95">
                  <c:v>18.88</c:v>
                </c:pt>
                <c:pt idx="96">
                  <c:v>19.076666666666664</c:v>
                </c:pt>
                <c:pt idx="97">
                  <c:v>19.273333333333333</c:v>
                </c:pt>
                <c:pt idx="98">
                  <c:v>19.47</c:v>
                </c:pt>
                <c:pt idx="99">
                  <c:v>19.666666666666664</c:v>
                </c:pt>
                <c:pt idx="100">
                  <c:v>19.863333333333333</c:v>
                </c:pt>
                <c:pt idx="101">
                  <c:v>20.059999999999999</c:v>
                </c:pt>
                <c:pt idx="102">
                  <c:v>20.256666666666664</c:v>
                </c:pt>
                <c:pt idx="103">
                  <c:v>20.453333333333333</c:v>
                </c:pt>
                <c:pt idx="104">
                  <c:v>20.65</c:v>
                </c:pt>
                <c:pt idx="105">
                  <c:v>20.846666666666664</c:v>
                </c:pt>
                <c:pt idx="106">
                  <c:v>21.043333333333333</c:v>
                </c:pt>
                <c:pt idx="107">
                  <c:v>21.24</c:v>
                </c:pt>
                <c:pt idx="108">
                  <c:v>21.436666666666664</c:v>
                </c:pt>
                <c:pt idx="109">
                  <c:v>21.633333333333333</c:v>
                </c:pt>
                <c:pt idx="110">
                  <c:v>21.83</c:v>
                </c:pt>
                <c:pt idx="111">
                  <c:v>22.026666666666664</c:v>
                </c:pt>
                <c:pt idx="112">
                  <c:v>22.223333333333333</c:v>
                </c:pt>
                <c:pt idx="113">
                  <c:v>22.419999999999998</c:v>
                </c:pt>
                <c:pt idx="114">
                  <c:v>22.616666666666667</c:v>
                </c:pt>
                <c:pt idx="115">
                  <c:v>22.813333333333333</c:v>
                </c:pt>
                <c:pt idx="116">
                  <c:v>23.009999999999998</c:v>
                </c:pt>
                <c:pt idx="117">
                  <c:v>23.206666666666667</c:v>
                </c:pt>
                <c:pt idx="118">
                  <c:v>23.403333333333332</c:v>
                </c:pt>
                <c:pt idx="119">
                  <c:v>23.599999999999998</c:v>
                </c:pt>
                <c:pt idx="120">
                  <c:v>23.796666666666667</c:v>
                </c:pt>
                <c:pt idx="121">
                  <c:v>23.993333333333332</c:v>
                </c:pt>
                <c:pt idx="122">
                  <c:v>24.189999999999998</c:v>
                </c:pt>
                <c:pt idx="123">
                  <c:v>24.386666666666667</c:v>
                </c:pt>
                <c:pt idx="124">
                  <c:v>24.583333333333332</c:v>
                </c:pt>
                <c:pt idx="125">
                  <c:v>24.779999999999998</c:v>
                </c:pt>
                <c:pt idx="126">
                  <c:v>24.976666666666667</c:v>
                </c:pt>
                <c:pt idx="127">
                  <c:v>25.173333333333332</c:v>
                </c:pt>
                <c:pt idx="128">
                  <c:v>25.369999999999997</c:v>
                </c:pt>
                <c:pt idx="129">
                  <c:v>25.566666666666666</c:v>
                </c:pt>
                <c:pt idx="130">
                  <c:v>25.763333333333332</c:v>
                </c:pt>
                <c:pt idx="131">
                  <c:v>25.959999999999997</c:v>
                </c:pt>
                <c:pt idx="132">
                  <c:v>26.156666666666666</c:v>
                </c:pt>
                <c:pt idx="133">
                  <c:v>26.353333333333332</c:v>
                </c:pt>
                <c:pt idx="134">
                  <c:v>26.549999999999997</c:v>
                </c:pt>
                <c:pt idx="135">
                  <c:v>26.746666666666666</c:v>
                </c:pt>
                <c:pt idx="136">
                  <c:v>26.943333333333332</c:v>
                </c:pt>
                <c:pt idx="137">
                  <c:v>27.139999999999997</c:v>
                </c:pt>
                <c:pt idx="138">
                  <c:v>27.336666666666666</c:v>
                </c:pt>
                <c:pt idx="139">
                  <c:v>27.533333333333331</c:v>
                </c:pt>
                <c:pt idx="140">
                  <c:v>27.729999999999997</c:v>
                </c:pt>
                <c:pt idx="141">
                  <c:v>27.926666666666666</c:v>
                </c:pt>
                <c:pt idx="142">
                  <c:v>28.123333333333331</c:v>
                </c:pt>
                <c:pt idx="143">
                  <c:v>28.32</c:v>
                </c:pt>
                <c:pt idx="144">
                  <c:v>28.516666666666666</c:v>
                </c:pt>
                <c:pt idx="145">
                  <c:v>28.713333333333331</c:v>
                </c:pt>
                <c:pt idx="146">
                  <c:v>28.91</c:v>
                </c:pt>
                <c:pt idx="147">
                  <c:v>29.106666666666666</c:v>
                </c:pt>
                <c:pt idx="148">
                  <c:v>29.303333333333331</c:v>
                </c:pt>
                <c:pt idx="149">
                  <c:v>29.5</c:v>
                </c:pt>
                <c:pt idx="150">
                  <c:v>29.696666666666665</c:v>
                </c:pt>
                <c:pt idx="151">
                  <c:v>29.893333333333331</c:v>
                </c:pt>
                <c:pt idx="152">
                  <c:v>30.09</c:v>
                </c:pt>
                <c:pt idx="153">
                  <c:v>30.286666666666665</c:v>
                </c:pt>
                <c:pt idx="154">
                  <c:v>30.483333333333331</c:v>
                </c:pt>
                <c:pt idx="155">
                  <c:v>30.68</c:v>
                </c:pt>
                <c:pt idx="156">
                  <c:v>30.876666666666665</c:v>
                </c:pt>
                <c:pt idx="157">
                  <c:v>31.073333333333331</c:v>
                </c:pt>
                <c:pt idx="158">
                  <c:v>31.27</c:v>
                </c:pt>
                <c:pt idx="159">
                  <c:v>31.466666666666665</c:v>
                </c:pt>
                <c:pt idx="160">
                  <c:v>31.66333333333333</c:v>
                </c:pt>
                <c:pt idx="161">
                  <c:v>31.86</c:v>
                </c:pt>
                <c:pt idx="162">
                  <c:v>32.056666666666665</c:v>
                </c:pt>
                <c:pt idx="163">
                  <c:v>32.25333333333333</c:v>
                </c:pt>
                <c:pt idx="164">
                  <c:v>32.449999999999996</c:v>
                </c:pt>
                <c:pt idx="165">
                  <c:v>32.646666666666668</c:v>
                </c:pt>
                <c:pt idx="166">
                  <c:v>32.843333333333334</c:v>
                </c:pt>
                <c:pt idx="167">
                  <c:v>33.04</c:v>
                </c:pt>
                <c:pt idx="168">
                  <c:v>33.236666666666665</c:v>
                </c:pt>
                <c:pt idx="169">
                  <c:v>33.43333333333333</c:v>
                </c:pt>
                <c:pt idx="170">
                  <c:v>33.629999999999995</c:v>
                </c:pt>
                <c:pt idx="171">
                  <c:v>33.826666666666668</c:v>
                </c:pt>
                <c:pt idx="172">
                  <c:v>34.023333333333333</c:v>
                </c:pt>
                <c:pt idx="173">
                  <c:v>34.22</c:v>
                </c:pt>
                <c:pt idx="174">
                  <c:v>34.416666666666664</c:v>
                </c:pt>
                <c:pt idx="175">
                  <c:v>34.61333333333333</c:v>
                </c:pt>
                <c:pt idx="176">
                  <c:v>34.809999999999995</c:v>
                </c:pt>
                <c:pt idx="177">
                  <c:v>35.006666666666668</c:v>
                </c:pt>
                <c:pt idx="178">
                  <c:v>35.203333333333333</c:v>
                </c:pt>
                <c:pt idx="179">
                  <c:v>35.4</c:v>
                </c:pt>
                <c:pt idx="180">
                  <c:v>35.596666666666664</c:v>
                </c:pt>
                <c:pt idx="181">
                  <c:v>35.793333333333329</c:v>
                </c:pt>
                <c:pt idx="182">
                  <c:v>35.989999999999995</c:v>
                </c:pt>
                <c:pt idx="183">
                  <c:v>36.186666666666667</c:v>
                </c:pt>
                <c:pt idx="184">
                  <c:v>36.383333333333333</c:v>
                </c:pt>
                <c:pt idx="185">
                  <c:v>36.58</c:v>
                </c:pt>
                <c:pt idx="186">
                  <c:v>36.776666666666664</c:v>
                </c:pt>
                <c:pt idx="187">
                  <c:v>36.973333333333329</c:v>
                </c:pt>
                <c:pt idx="188">
                  <c:v>37.169999999999995</c:v>
                </c:pt>
                <c:pt idx="189">
                  <c:v>37.366666666666667</c:v>
                </c:pt>
                <c:pt idx="190">
                  <c:v>37.563333333333333</c:v>
                </c:pt>
                <c:pt idx="191">
                  <c:v>37.76</c:v>
                </c:pt>
                <c:pt idx="192">
                  <c:v>37.956666666666663</c:v>
                </c:pt>
                <c:pt idx="193">
                  <c:v>38.153333333333329</c:v>
                </c:pt>
                <c:pt idx="194">
                  <c:v>38.35</c:v>
                </c:pt>
                <c:pt idx="195">
                  <c:v>38.546666666666667</c:v>
                </c:pt>
                <c:pt idx="196">
                  <c:v>38.743333333333332</c:v>
                </c:pt>
                <c:pt idx="197">
                  <c:v>38.94</c:v>
                </c:pt>
                <c:pt idx="198">
                  <c:v>39.136666666666663</c:v>
                </c:pt>
                <c:pt idx="199">
                  <c:v>39.333333333333329</c:v>
                </c:pt>
                <c:pt idx="200">
                  <c:v>39.53</c:v>
                </c:pt>
                <c:pt idx="201">
                  <c:v>39.726666666666667</c:v>
                </c:pt>
                <c:pt idx="202">
                  <c:v>39.923333333333332</c:v>
                </c:pt>
                <c:pt idx="203">
                  <c:v>40.119999999999997</c:v>
                </c:pt>
                <c:pt idx="204">
                  <c:v>40.316666666666663</c:v>
                </c:pt>
                <c:pt idx="205">
                  <c:v>40.513333333333328</c:v>
                </c:pt>
                <c:pt idx="206">
                  <c:v>40.71</c:v>
                </c:pt>
                <c:pt idx="207">
                  <c:v>40.906666666666666</c:v>
                </c:pt>
                <c:pt idx="208">
                  <c:v>41.103333333333332</c:v>
                </c:pt>
                <c:pt idx="209">
                  <c:v>41.3</c:v>
                </c:pt>
                <c:pt idx="210">
                  <c:v>41.496666666666663</c:v>
                </c:pt>
                <c:pt idx="211">
                  <c:v>41.693333333333328</c:v>
                </c:pt>
                <c:pt idx="212">
                  <c:v>41.89</c:v>
                </c:pt>
                <c:pt idx="213">
                  <c:v>42.086666666666666</c:v>
                </c:pt>
                <c:pt idx="214">
                  <c:v>42.283333333333331</c:v>
                </c:pt>
                <c:pt idx="215">
                  <c:v>42.48</c:v>
                </c:pt>
                <c:pt idx="216">
                  <c:v>42.676666666666662</c:v>
                </c:pt>
                <c:pt idx="217">
                  <c:v>42.873333333333328</c:v>
                </c:pt>
                <c:pt idx="218">
                  <c:v>43.07</c:v>
                </c:pt>
                <c:pt idx="219">
                  <c:v>43.266666666666666</c:v>
                </c:pt>
                <c:pt idx="220">
                  <c:v>43.463333333333331</c:v>
                </c:pt>
                <c:pt idx="221">
                  <c:v>43.66</c:v>
                </c:pt>
                <c:pt idx="222">
                  <c:v>43.856666666666662</c:v>
                </c:pt>
                <c:pt idx="223">
                  <c:v>44.053333333333327</c:v>
                </c:pt>
                <c:pt idx="224">
                  <c:v>44.25</c:v>
                </c:pt>
                <c:pt idx="225">
                  <c:v>44.446666666666665</c:v>
                </c:pt>
                <c:pt idx="226">
                  <c:v>44.643333333333331</c:v>
                </c:pt>
                <c:pt idx="227">
                  <c:v>44.839999999999996</c:v>
                </c:pt>
                <c:pt idx="228">
                  <c:v>45.036666666666662</c:v>
                </c:pt>
                <c:pt idx="229">
                  <c:v>45.233333333333334</c:v>
                </c:pt>
                <c:pt idx="230">
                  <c:v>45.43</c:v>
                </c:pt>
                <c:pt idx="231">
                  <c:v>45.626666666666665</c:v>
                </c:pt>
                <c:pt idx="232">
                  <c:v>45.823333333333331</c:v>
                </c:pt>
                <c:pt idx="233">
                  <c:v>46.019999999999996</c:v>
                </c:pt>
                <c:pt idx="234">
                  <c:v>46.216666666666661</c:v>
                </c:pt>
                <c:pt idx="235">
                  <c:v>46.413333333333334</c:v>
                </c:pt>
                <c:pt idx="236">
                  <c:v>46.61</c:v>
                </c:pt>
                <c:pt idx="237">
                  <c:v>46.806666666666665</c:v>
                </c:pt>
                <c:pt idx="238">
                  <c:v>47.00333333333333</c:v>
                </c:pt>
                <c:pt idx="239">
                  <c:v>47.199999999999996</c:v>
                </c:pt>
                <c:pt idx="240">
                  <c:v>47.396666666666661</c:v>
                </c:pt>
                <c:pt idx="241">
                  <c:v>47.593333333333334</c:v>
                </c:pt>
                <c:pt idx="242">
                  <c:v>47.79</c:v>
                </c:pt>
                <c:pt idx="243">
                  <c:v>47.986666666666665</c:v>
                </c:pt>
                <c:pt idx="244">
                  <c:v>48.18333333333333</c:v>
                </c:pt>
                <c:pt idx="245">
                  <c:v>48.379999999999995</c:v>
                </c:pt>
                <c:pt idx="246">
                  <c:v>48.576666666666661</c:v>
                </c:pt>
                <c:pt idx="247">
                  <c:v>48.773333333333333</c:v>
                </c:pt>
                <c:pt idx="248">
                  <c:v>48.97</c:v>
                </c:pt>
                <c:pt idx="249">
                  <c:v>49.166666666666664</c:v>
                </c:pt>
                <c:pt idx="250">
                  <c:v>49.36333333333333</c:v>
                </c:pt>
                <c:pt idx="251">
                  <c:v>49.559999999999995</c:v>
                </c:pt>
                <c:pt idx="252">
                  <c:v>49.756666666666661</c:v>
                </c:pt>
                <c:pt idx="253">
                  <c:v>49.953333333333333</c:v>
                </c:pt>
                <c:pt idx="254">
                  <c:v>50.15</c:v>
                </c:pt>
                <c:pt idx="255">
                  <c:v>50.346666666666664</c:v>
                </c:pt>
                <c:pt idx="256">
                  <c:v>50.543333333333329</c:v>
                </c:pt>
                <c:pt idx="257">
                  <c:v>50.739999999999995</c:v>
                </c:pt>
                <c:pt idx="258">
                  <c:v>50.936666666666667</c:v>
                </c:pt>
                <c:pt idx="259">
                  <c:v>51.133333333333333</c:v>
                </c:pt>
                <c:pt idx="260">
                  <c:v>51.33</c:v>
                </c:pt>
                <c:pt idx="261">
                  <c:v>51.526666666666664</c:v>
                </c:pt>
                <c:pt idx="262">
                  <c:v>51.723333333333329</c:v>
                </c:pt>
                <c:pt idx="263">
                  <c:v>51.919999999999995</c:v>
                </c:pt>
                <c:pt idx="264">
                  <c:v>52.116666666666667</c:v>
                </c:pt>
                <c:pt idx="265">
                  <c:v>52.313333333333333</c:v>
                </c:pt>
                <c:pt idx="266">
                  <c:v>52.51</c:v>
                </c:pt>
                <c:pt idx="267">
                  <c:v>52.706666666666663</c:v>
                </c:pt>
                <c:pt idx="268">
                  <c:v>52.903333333333329</c:v>
                </c:pt>
                <c:pt idx="269">
                  <c:v>53.099999999999994</c:v>
                </c:pt>
                <c:pt idx="270">
                  <c:v>53.296666666666667</c:v>
                </c:pt>
                <c:pt idx="271">
                  <c:v>53.493333333333332</c:v>
                </c:pt>
                <c:pt idx="272">
                  <c:v>53.69</c:v>
                </c:pt>
                <c:pt idx="273">
                  <c:v>53.886666666666663</c:v>
                </c:pt>
                <c:pt idx="274">
                  <c:v>54.083333333333329</c:v>
                </c:pt>
                <c:pt idx="275">
                  <c:v>54.279999999999994</c:v>
                </c:pt>
                <c:pt idx="276">
                  <c:v>54.476666666666667</c:v>
                </c:pt>
                <c:pt idx="277">
                  <c:v>54.673333333333332</c:v>
                </c:pt>
                <c:pt idx="278">
                  <c:v>54.87</c:v>
                </c:pt>
                <c:pt idx="279">
                  <c:v>55.066666666666663</c:v>
                </c:pt>
                <c:pt idx="280">
                  <c:v>55.263333333333328</c:v>
                </c:pt>
                <c:pt idx="281">
                  <c:v>55.459999999999994</c:v>
                </c:pt>
                <c:pt idx="282">
                  <c:v>55.656666666666666</c:v>
                </c:pt>
                <c:pt idx="283">
                  <c:v>55.853333333333332</c:v>
                </c:pt>
                <c:pt idx="284">
                  <c:v>56.05</c:v>
                </c:pt>
                <c:pt idx="285">
                  <c:v>56.246666666666663</c:v>
                </c:pt>
                <c:pt idx="286">
                  <c:v>56.443333333333328</c:v>
                </c:pt>
                <c:pt idx="287">
                  <c:v>56.64</c:v>
                </c:pt>
                <c:pt idx="288">
                  <c:v>56.836666666666666</c:v>
                </c:pt>
                <c:pt idx="289">
                  <c:v>57.033333333333331</c:v>
                </c:pt>
                <c:pt idx="290">
                  <c:v>57.23</c:v>
                </c:pt>
                <c:pt idx="291">
                  <c:v>57.426666666666662</c:v>
                </c:pt>
                <c:pt idx="292">
                  <c:v>57.623333333333328</c:v>
                </c:pt>
                <c:pt idx="293">
                  <c:v>57.82</c:v>
                </c:pt>
                <c:pt idx="294">
                  <c:v>58.016666666666666</c:v>
                </c:pt>
                <c:pt idx="295">
                  <c:v>58.213333333333331</c:v>
                </c:pt>
                <c:pt idx="296">
                  <c:v>58.41</c:v>
                </c:pt>
                <c:pt idx="297">
                  <c:v>58.606666666666662</c:v>
                </c:pt>
                <c:pt idx="298">
                  <c:v>58.803333333333327</c:v>
                </c:pt>
                <c:pt idx="299">
                  <c:v>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3D-457A-BC56-42C0052DF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66688"/>
        <c:axId val="1402064608"/>
      </c:scatterChart>
      <c:valAx>
        <c:axId val="1402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4608"/>
        <c:crosses val="autoZero"/>
        <c:crossBetween val="midCat"/>
      </c:valAx>
      <c:valAx>
        <c:axId val="1402064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66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(training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LR_TrainingLiftChart1!$BE$4:$BE$13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LR_TrainingLiftChart1!$BF$4:$BF$13</c:f>
              <c:numCache>
                <c:formatCode>General</c:formatCode>
                <c:ptCount val="10"/>
                <c:pt idx="0">
                  <c:v>0.33898305084745767</c:v>
                </c:pt>
                <c:pt idx="1">
                  <c:v>0.33898305084745767</c:v>
                </c:pt>
                <c:pt idx="2">
                  <c:v>1.5254237288135595</c:v>
                </c:pt>
                <c:pt idx="3">
                  <c:v>1.8644067796610171</c:v>
                </c:pt>
                <c:pt idx="4">
                  <c:v>1.6949152542372883</c:v>
                </c:pt>
                <c:pt idx="5">
                  <c:v>1.8644067796610171</c:v>
                </c:pt>
                <c:pt idx="6">
                  <c:v>1.8644067796610171</c:v>
                </c:pt>
                <c:pt idx="7">
                  <c:v>0.33898305084745767</c:v>
                </c:pt>
                <c:pt idx="8">
                  <c:v>0.16949152542372883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57-4C84-A01A-63495F7A9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066688"/>
        <c:axId val="1402067520"/>
      </c:barChart>
      <c:catAx>
        <c:axId val="1402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7520"/>
        <c:crosses val="autoZero"/>
        <c:auto val="1"/>
        <c:lblAlgn val="ctr"/>
        <c:lblOffset val="100"/>
        <c:noMultiLvlLbl val="0"/>
      </c:catAx>
      <c:valAx>
        <c:axId val="1402067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66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3</xdr:row>
      <xdr:rowOff>123825</xdr:rowOff>
    </xdr:from>
    <xdr:to>
      <xdr:col>13</xdr:col>
      <xdr:colOff>104775</xdr:colOff>
      <xdr:row>17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161925</xdr:rowOff>
    </xdr:from>
    <xdr:to>
      <xdr:col>6</xdr:col>
      <xdr:colOff>457200</xdr:colOff>
      <xdr:row>25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9</xdr:row>
      <xdr:rowOff>161925</xdr:rowOff>
    </xdr:from>
    <xdr:to>
      <xdr:col>13</xdr:col>
      <xdr:colOff>228600</xdr:colOff>
      <xdr:row>25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161926</xdr:rowOff>
    </xdr:from>
    <xdr:to>
      <xdr:col>6</xdr:col>
      <xdr:colOff>457200</xdr:colOff>
      <xdr:row>45</xdr:row>
      <xdr:rowOff>136526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161925</xdr:rowOff>
    </xdr:from>
    <xdr:to>
      <xdr:col>6</xdr:col>
      <xdr:colOff>457200</xdr:colOff>
      <xdr:row>25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9</xdr:row>
      <xdr:rowOff>161925</xdr:rowOff>
    </xdr:from>
    <xdr:to>
      <xdr:col>13</xdr:col>
      <xdr:colOff>228600</xdr:colOff>
      <xdr:row>25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161926</xdr:rowOff>
    </xdr:from>
    <xdr:to>
      <xdr:col>6</xdr:col>
      <xdr:colOff>457200</xdr:colOff>
      <xdr:row>45</xdr:row>
      <xdr:rowOff>136526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161925</xdr:rowOff>
    </xdr:from>
    <xdr:to>
      <xdr:col>6</xdr:col>
      <xdr:colOff>457200</xdr:colOff>
      <xdr:row>25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9</xdr:row>
      <xdr:rowOff>161925</xdr:rowOff>
    </xdr:from>
    <xdr:to>
      <xdr:col>13</xdr:col>
      <xdr:colOff>228600</xdr:colOff>
      <xdr:row>25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161926</xdr:rowOff>
    </xdr:from>
    <xdr:to>
      <xdr:col>6</xdr:col>
      <xdr:colOff>457200</xdr:colOff>
      <xdr:row>45</xdr:row>
      <xdr:rowOff>136526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161925</xdr:rowOff>
    </xdr:from>
    <xdr:to>
      <xdr:col>6</xdr:col>
      <xdr:colOff>457200</xdr:colOff>
      <xdr:row>25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9</xdr:row>
      <xdr:rowOff>161925</xdr:rowOff>
    </xdr:from>
    <xdr:to>
      <xdr:col>13</xdr:col>
      <xdr:colOff>228600</xdr:colOff>
      <xdr:row>25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161926</xdr:rowOff>
    </xdr:from>
    <xdr:to>
      <xdr:col>6</xdr:col>
      <xdr:colOff>457200</xdr:colOff>
      <xdr:row>45</xdr:row>
      <xdr:rowOff>136526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161925</xdr:rowOff>
    </xdr:from>
    <xdr:to>
      <xdr:col>6</xdr:col>
      <xdr:colOff>457200</xdr:colOff>
      <xdr:row>25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9</xdr:row>
      <xdr:rowOff>161925</xdr:rowOff>
    </xdr:from>
    <xdr:to>
      <xdr:col>13</xdr:col>
      <xdr:colOff>228600</xdr:colOff>
      <xdr:row>25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161926</xdr:rowOff>
    </xdr:from>
    <xdr:to>
      <xdr:col>6</xdr:col>
      <xdr:colOff>457200</xdr:colOff>
      <xdr:row>45</xdr:row>
      <xdr:rowOff>136526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161925</xdr:rowOff>
    </xdr:from>
    <xdr:to>
      <xdr:col>6</xdr:col>
      <xdr:colOff>457200</xdr:colOff>
      <xdr:row>25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9</xdr:row>
      <xdr:rowOff>161925</xdr:rowOff>
    </xdr:from>
    <xdr:to>
      <xdr:col>13</xdr:col>
      <xdr:colOff>228600</xdr:colOff>
      <xdr:row>25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161926</xdr:rowOff>
    </xdr:from>
    <xdr:to>
      <xdr:col>6</xdr:col>
      <xdr:colOff>457200</xdr:colOff>
      <xdr:row>45</xdr:row>
      <xdr:rowOff>136526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LRBSTable" displayName="LRBSTable" ref="C74:J78" totalsRowShown="0">
  <autoFilter ref="C74:J78"/>
  <tableColumns count="8">
    <tableColumn id="1" name="Subset Link" dataCellStyle="Hyperlink"/>
    <tableColumn id="2" name="#Coeffs"/>
    <tableColumn id="3" name="RSS"/>
    <tableColumn id="4" name="Cp"/>
    <tableColumn id="5" name="Probability"/>
    <tableColumn id="6" name="1"/>
    <tableColumn id="7" name="2"/>
    <tableColumn id="8" name="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1"/>
  <sheetViews>
    <sheetView tabSelected="1" workbookViewId="0">
      <selection activeCell="P11" sqref="P11"/>
    </sheetView>
  </sheetViews>
  <sheetFormatPr defaultRowHeight="15.75" x14ac:dyDescent="0.25"/>
  <cols>
    <col min="11" max="11" width="9.875" customWidth="1"/>
  </cols>
  <sheetData>
    <row r="1" spans="1:12" x14ac:dyDescent="0.25">
      <c r="A1" s="1" t="s">
        <v>1</v>
      </c>
      <c r="B1" s="1" t="s">
        <v>0</v>
      </c>
      <c r="C1" s="1" t="s">
        <v>2</v>
      </c>
      <c r="D1" s="1" t="s">
        <v>3</v>
      </c>
    </row>
    <row r="2" spans="1:12" x14ac:dyDescent="0.25">
      <c r="A2" s="2">
        <v>1</v>
      </c>
      <c r="B2" s="3">
        <v>3.78</v>
      </c>
      <c r="C2" s="2">
        <v>1</v>
      </c>
      <c r="D2" s="2">
        <v>0</v>
      </c>
      <c r="E2" s="47"/>
      <c r="H2" s="4" t="s">
        <v>169</v>
      </c>
      <c r="L2">
        <f>AVERAGEIF(C2:C501,"=1",B2:B501)</f>
        <v>3.1713513513513516</v>
      </c>
    </row>
    <row r="3" spans="1:12" x14ac:dyDescent="0.25">
      <c r="A3" s="2">
        <v>2</v>
      </c>
      <c r="B3" s="3">
        <v>2.38</v>
      </c>
      <c r="C3" s="2">
        <v>0</v>
      </c>
      <c r="D3" s="2">
        <v>0</v>
      </c>
      <c r="E3" s="47"/>
      <c r="H3" s="4" t="s">
        <v>170</v>
      </c>
      <c r="L3">
        <f>AVERAGEIF(C2:C501,"=0",B2:B501)</f>
        <v>2.7624164524421597</v>
      </c>
    </row>
    <row r="4" spans="1:12" x14ac:dyDescent="0.25">
      <c r="A4" s="2">
        <v>3</v>
      </c>
      <c r="B4" s="3">
        <v>3.05</v>
      </c>
      <c r="C4" s="2">
        <v>0</v>
      </c>
      <c r="D4" s="2">
        <v>1</v>
      </c>
      <c r="E4" s="47"/>
    </row>
    <row r="5" spans="1:12" x14ac:dyDescent="0.25">
      <c r="A5" s="2">
        <v>4</v>
      </c>
      <c r="B5" s="3">
        <v>2.19</v>
      </c>
      <c r="C5" s="2">
        <v>0</v>
      </c>
      <c r="D5" s="2">
        <v>1</v>
      </c>
      <c r="E5" s="47"/>
    </row>
    <row r="6" spans="1:12" x14ac:dyDescent="0.25">
      <c r="A6" s="2">
        <v>5</v>
      </c>
      <c r="B6" s="3">
        <v>3.22</v>
      </c>
      <c r="C6" s="2">
        <v>0</v>
      </c>
      <c r="D6" s="2">
        <v>0</v>
      </c>
      <c r="E6" s="47"/>
    </row>
    <row r="7" spans="1:12" x14ac:dyDescent="0.25">
      <c r="A7" s="2">
        <v>6</v>
      </c>
      <c r="B7" s="3">
        <v>2.68</v>
      </c>
      <c r="C7" s="2">
        <v>0</v>
      </c>
      <c r="D7" s="2">
        <v>0</v>
      </c>
      <c r="E7" s="47"/>
    </row>
    <row r="8" spans="1:12" x14ac:dyDescent="0.25">
      <c r="A8" s="2">
        <v>7</v>
      </c>
      <c r="B8" s="3">
        <v>2.72</v>
      </c>
      <c r="C8" s="2">
        <v>0</v>
      </c>
      <c r="D8" s="2">
        <v>1</v>
      </c>
      <c r="E8" s="47"/>
    </row>
    <row r="9" spans="1:12" x14ac:dyDescent="0.25">
      <c r="A9" s="2">
        <v>8</v>
      </c>
      <c r="B9" s="3">
        <v>2.69</v>
      </c>
      <c r="C9" s="2">
        <v>0</v>
      </c>
      <c r="D9" s="2">
        <v>1</v>
      </c>
      <c r="E9" s="47"/>
    </row>
    <row r="10" spans="1:12" x14ac:dyDescent="0.25">
      <c r="A10" s="2">
        <v>9</v>
      </c>
      <c r="B10" s="3">
        <v>2.81</v>
      </c>
      <c r="C10" s="2">
        <v>0</v>
      </c>
      <c r="D10" s="2">
        <v>1</v>
      </c>
      <c r="E10" s="47"/>
    </row>
    <row r="11" spans="1:12" x14ac:dyDescent="0.25">
      <c r="A11" s="2">
        <v>10</v>
      </c>
      <c r="B11" s="3">
        <v>3.53</v>
      </c>
      <c r="C11" s="2">
        <v>1</v>
      </c>
      <c r="D11" s="2">
        <v>0</v>
      </c>
      <c r="E11" s="47"/>
    </row>
    <row r="12" spans="1:12" x14ac:dyDescent="0.25">
      <c r="A12" s="2">
        <v>11</v>
      </c>
      <c r="B12" s="3">
        <v>3.12</v>
      </c>
      <c r="C12" s="2">
        <v>0</v>
      </c>
      <c r="D12" s="2">
        <v>0</v>
      </c>
      <c r="E12" s="47"/>
    </row>
    <row r="13" spans="1:12" x14ac:dyDescent="0.25">
      <c r="A13" s="2">
        <v>12</v>
      </c>
      <c r="B13" s="3">
        <v>2.96</v>
      </c>
      <c r="C13" s="2">
        <v>0</v>
      </c>
      <c r="D13" s="2">
        <v>1</v>
      </c>
      <c r="E13" s="47"/>
    </row>
    <row r="14" spans="1:12" x14ac:dyDescent="0.25">
      <c r="A14" s="2">
        <v>13</v>
      </c>
      <c r="B14" s="3">
        <v>3.01</v>
      </c>
      <c r="C14" s="2">
        <v>0</v>
      </c>
      <c r="D14" s="2">
        <v>0</v>
      </c>
      <c r="E14" s="47"/>
    </row>
    <row r="15" spans="1:12" x14ac:dyDescent="0.25">
      <c r="A15" s="2">
        <v>14</v>
      </c>
      <c r="B15" s="3">
        <v>2.7</v>
      </c>
      <c r="C15" s="2">
        <v>0</v>
      </c>
      <c r="D15" s="2">
        <v>1</v>
      </c>
      <c r="E15" s="47"/>
    </row>
    <row r="16" spans="1:12" x14ac:dyDescent="0.25">
      <c r="A16" s="2">
        <v>15</v>
      </c>
      <c r="B16" s="3">
        <v>2.4700000000000002</v>
      </c>
      <c r="C16" s="2">
        <v>0</v>
      </c>
      <c r="D16" s="2">
        <v>0</v>
      </c>
      <c r="E16" s="47"/>
    </row>
    <row r="17" spans="1:5" x14ac:dyDescent="0.25">
      <c r="A17" s="2">
        <v>16</v>
      </c>
      <c r="B17" s="3">
        <v>2.37</v>
      </c>
      <c r="C17" s="2">
        <v>0</v>
      </c>
      <c r="D17" s="2">
        <v>0</v>
      </c>
      <c r="E17" s="47"/>
    </row>
    <row r="18" spans="1:5" x14ac:dyDescent="0.25">
      <c r="A18" s="2">
        <v>17</v>
      </c>
      <c r="B18" s="3">
        <v>2.2799999999999998</v>
      </c>
      <c r="C18" s="2">
        <v>0</v>
      </c>
      <c r="D18" s="2">
        <v>1</v>
      </c>
      <c r="E18" s="47"/>
    </row>
    <row r="19" spans="1:5" x14ac:dyDescent="0.25">
      <c r="A19" s="2">
        <v>18</v>
      </c>
      <c r="B19" s="3">
        <v>2.76</v>
      </c>
      <c r="C19" s="2">
        <v>0</v>
      </c>
      <c r="D19" s="2">
        <v>1</v>
      </c>
      <c r="E19" s="47"/>
    </row>
    <row r="20" spans="1:5" x14ac:dyDescent="0.25">
      <c r="A20" s="2">
        <v>19</v>
      </c>
      <c r="B20" s="3">
        <v>2.2400000000000002</v>
      </c>
      <c r="C20" s="2">
        <v>0</v>
      </c>
      <c r="D20" s="2">
        <v>1</v>
      </c>
      <c r="E20" s="47"/>
    </row>
    <row r="21" spans="1:5" x14ac:dyDescent="0.25">
      <c r="A21" s="2">
        <v>20</v>
      </c>
      <c r="B21" s="3">
        <v>3.1</v>
      </c>
      <c r="C21" s="2">
        <v>0</v>
      </c>
      <c r="D21" s="2">
        <v>0</v>
      </c>
      <c r="E21" s="47"/>
    </row>
    <row r="22" spans="1:5" x14ac:dyDescent="0.25">
      <c r="A22" s="2">
        <v>21</v>
      </c>
      <c r="B22" s="3">
        <v>2.86</v>
      </c>
      <c r="C22" s="2">
        <v>0</v>
      </c>
      <c r="D22" s="2">
        <v>0</v>
      </c>
      <c r="E22" s="47"/>
    </row>
    <row r="23" spans="1:5" x14ac:dyDescent="0.25">
      <c r="A23" s="2">
        <v>22</v>
      </c>
      <c r="B23" s="3">
        <v>2.62</v>
      </c>
      <c r="C23" s="2">
        <v>0</v>
      </c>
      <c r="D23" s="2">
        <v>0</v>
      </c>
      <c r="E23" s="47"/>
    </row>
    <row r="24" spans="1:5" x14ac:dyDescent="0.25">
      <c r="A24" s="2">
        <v>23</v>
      </c>
      <c r="B24" s="3">
        <v>3.07</v>
      </c>
      <c r="C24" s="2">
        <v>0</v>
      </c>
      <c r="D24" s="2">
        <v>0</v>
      </c>
      <c r="E24" s="47"/>
    </row>
    <row r="25" spans="1:5" x14ac:dyDescent="0.25">
      <c r="A25" s="2">
        <v>24</v>
      </c>
      <c r="B25" s="3">
        <v>2.1800000000000002</v>
      </c>
      <c r="C25" s="2">
        <v>0</v>
      </c>
      <c r="D25" s="2">
        <v>0</v>
      </c>
      <c r="E25" s="47"/>
    </row>
    <row r="26" spans="1:5" x14ac:dyDescent="0.25">
      <c r="A26" s="2">
        <v>25</v>
      </c>
      <c r="B26" s="3">
        <v>3.3</v>
      </c>
      <c r="C26" s="2">
        <v>0</v>
      </c>
      <c r="D26" s="2">
        <v>0</v>
      </c>
      <c r="E26" s="47"/>
    </row>
    <row r="27" spans="1:5" x14ac:dyDescent="0.25">
      <c r="A27" s="2">
        <v>26</v>
      </c>
      <c r="B27" s="3">
        <v>2.4300000000000002</v>
      </c>
      <c r="C27" s="2">
        <v>0</v>
      </c>
      <c r="D27" s="2">
        <v>1</v>
      </c>
      <c r="E27" s="47"/>
    </row>
    <row r="28" spans="1:5" x14ac:dyDescent="0.25">
      <c r="A28" s="2">
        <v>27</v>
      </c>
      <c r="B28" s="3">
        <v>2.38</v>
      </c>
      <c r="C28" s="2">
        <v>0</v>
      </c>
      <c r="D28" s="2">
        <v>1</v>
      </c>
      <c r="E28" s="47"/>
    </row>
    <row r="29" spans="1:5" x14ac:dyDescent="0.25">
      <c r="A29" s="2">
        <v>28</v>
      </c>
      <c r="B29" s="3">
        <v>2.98</v>
      </c>
      <c r="C29" s="2">
        <v>0</v>
      </c>
      <c r="D29" s="2">
        <v>1</v>
      </c>
      <c r="E29" s="47"/>
    </row>
    <row r="30" spans="1:5" x14ac:dyDescent="0.25">
      <c r="A30" s="2">
        <v>29</v>
      </c>
      <c r="B30" s="3">
        <v>2.63</v>
      </c>
      <c r="C30" s="2">
        <v>0</v>
      </c>
      <c r="D30" s="2">
        <v>0</v>
      </c>
      <c r="E30" s="47"/>
    </row>
    <row r="31" spans="1:5" x14ac:dyDescent="0.25">
      <c r="A31" s="2">
        <v>30</v>
      </c>
      <c r="B31" s="3">
        <v>4</v>
      </c>
      <c r="C31" s="2">
        <v>1</v>
      </c>
      <c r="D31" s="2">
        <v>0</v>
      </c>
      <c r="E31" s="47"/>
    </row>
    <row r="32" spans="1:5" x14ac:dyDescent="0.25">
      <c r="A32" s="2">
        <v>31</v>
      </c>
      <c r="B32" s="3">
        <v>2.21</v>
      </c>
      <c r="C32" s="2">
        <v>0</v>
      </c>
      <c r="D32" s="2">
        <v>1</v>
      </c>
      <c r="E32" s="47"/>
    </row>
    <row r="33" spans="1:5" x14ac:dyDescent="0.25">
      <c r="A33" s="2">
        <v>32</v>
      </c>
      <c r="B33" s="3">
        <v>2.6799999999999997</v>
      </c>
      <c r="C33" s="2">
        <v>0</v>
      </c>
      <c r="D33" s="2">
        <v>1</v>
      </c>
      <c r="E33" s="47"/>
    </row>
    <row r="34" spans="1:5" x14ac:dyDescent="0.25">
      <c r="A34" s="2">
        <v>33</v>
      </c>
      <c r="B34" s="3">
        <v>2.62</v>
      </c>
      <c r="C34" s="2">
        <v>0</v>
      </c>
      <c r="D34" s="2">
        <v>1</v>
      </c>
      <c r="E34" s="47"/>
    </row>
    <row r="35" spans="1:5" x14ac:dyDescent="0.25">
      <c r="A35" s="2">
        <v>34</v>
      </c>
      <c r="B35" s="3">
        <v>2.65</v>
      </c>
      <c r="C35" s="2">
        <v>0</v>
      </c>
      <c r="D35" s="2">
        <v>0</v>
      </c>
      <c r="E35" s="47"/>
    </row>
    <row r="36" spans="1:5" x14ac:dyDescent="0.25">
      <c r="A36" s="2">
        <v>35</v>
      </c>
      <c r="B36" s="3">
        <v>2.82</v>
      </c>
      <c r="C36" s="2">
        <v>1</v>
      </c>
      <c r="D36" s="2">
        <v>0</v>
      </c>
      <c r="E36" s="47"/>
    </row>
    <row r="37" spans="1:5" x14ac:dyDescent="0.25">
      <c r="A37" s="2">
        <v>36</v>
      </c>
      <c r="B37" s="3">
        <v>3.77</v>
      </c>
      <c r="C37" s="2">
        <v>0</v>
      </c>
      <c r="D37" s="2">
        <v>0</v>
      </c>
      <c r="E37" s="47"/>
    </row>
    <row r="38" spans="1:5" x14ac:dyDescent="0.25">
      <c r="A38" s="2">
        <v>37</v>
      </c>
      <c r="B38" s="3">
        <v>2.38</v>
      </c>
      <c r="C38" s="2">
        <v>0</v>
      </c>
      <c r="D38" s="2">
        <v>0</v>
      </c>
      <c r="E38" s="47"/>
    </row>
    <row r="39" spans="1:5" x14ac:dyDescent="0.25">
      <c r="A39" s="2">
        <v>38</v>
      </c>
      <c r="B39" s="3">
        <v>3.11</v>
      </c>
      <c r="C39" s="2">
        <v>1</v>
      </c>
      <c r="D39" s="2">
        <v>0</v>
      </c>
      <c r="E39" s="47"/>
    </row>
    <row r="40" spans="1:5" x14ac:dyDescent="0.25">
      <c r="A40" s="2">
        <v>39</v>
      </c>
      <c r="B40" s="3">
        <v>2.82</v>
      </c>
      <c r="C40" s="2">
        <v>0</v>
      </c>
      <c r="D40" s="2">
        <v>0</v>
      </c>
      <c r="E40" s="47"/>
    </row>
    <row r="41" spans="1:5" x14ac:dyDescent="0.25">
      <c r="A41" s="2">
        <v>40</v>
      </c>
      <c r="B41" s="3">
        <v>2.16</v>
      </c>
      <c r="C41" s="2">
        <v>0</v>
      </c>
      <c r="D41" s="2">
        <v>1</v>
      </c>
      <c r="E41" s="47"/>
    </row>
    <row r="42" spans="1:5" x14ac:dyDescent="0.25">
      <c r="A42" s="2">
        <v>41</v>
      </c>
      <c r="B42" s="3">
        <v>2.66</v>
      </c>
      <c r="C42" s="2">
        <v>1</v>
      </c>
      <c r="D42" s="2">
        <v>1</v>
      </c>
      <c r="E42" s="47"/>
    </row>
    <row r="43" spans="1:5" x14ac:dyDescent="0.25">
      <c r="A43" s="2">
        <v>42</v>
      </c>
      <c r="B43" s="3">
        <v>3.33</v>
      </c>
      <c r="C43" s="2">
        <v>0</v>
      </c>
      <c r="D43" s="2">
        <v>0</v>
      </c>
      <c r="E43" s="47"/>
    </row>
    <row r="44" spans="1:5" x14ac:dyDescent="0.25">
      <c r="A44" s="2">
        <v>43</v>
      </c>
      <c r="B44" s="3">
        <v>2.77</v>
      </c>
      <c r="C44" s="2">
        <v>0</v>
      </c>
      <c r="D44" s="2">
        <v>1</v>
      </c>
      <c r="E44" s="47"/>
    </row>
    <row r="45" spans="1:5" x14ac:dyDescent="0.25">
      <c r="A45" s="2">
        <v>44</v>
      </c>
      <c r="B45" s="3">
        <v>4</v>
      </c>
      <c r="C45" s="2">
        <v>1</v>
      </c>
      <c r="D45" s="2">
        <v>0</v>
      </c>
      <c r="E45" s="47"/>
    </row>
    <row r="46" spans="1:5" x14ac:dyDescent="0.25">
      <c r="A46" s="2">
        <v>45</v>
      </c>
      <c r="B46" s="3">
        <v>2.33</v>
      </c>
      <c r="C46" s="2">
        <v>0</v>
      </c>
      <c r="D46" s="2">
        <v>1</v>
      </c>
      <c r="E46" s="47"/>
    </row>
    <row r="47" spans="1:5" x14ac:dyDescent="0.25">
      <c r="A47" s="2">
        <v>46</v>
      </c>
      <c r="B47" s="3">
        <v>3.41</v>
      </c>
      <c r="C47" s="2">
        <v>0</v>
      </c>
      <c r="D47" s="2">
        <v>1</v>
      </c>
      <c r="E47" s="47"/>
    </row>
    <row r="48" spans="1:5" x14ac:dyDescent="0.25">
      <c r="A48" s="2">
        <v>47</v>
      </c>
      <c r="B48" s="3">
        <v>2.9299999999999997</v>
      </c>
      <c r="C48" s="2">
        <v>0</v>
      </c>
      <c r="D48" s="2">
        <v>1</v>
      </c>
      <c r="E48" s="47"/>
    </row>
    <row r="49" spans="1:5" x14ac:dyDescent="0.25">
      <c r="A49" s="2">
        <v>48</v>
      </c>
      <c r="B49" s="3">
        <v>3.06</v>
      </c>
      <c r="C49" s="2">
        <v>0</v>
      </c>
      <c r="D49" s="2">
        <v>0</v>
      </c>
      <c r="E49" s="47"/>
    </row>
    <row r="50" spans="1:5" x14ac:dyDescent="0.25">
      <c r="A50" s="2">
        <v>49</v>
      </c>
      <c r="B50" s="3">
        <v>3.98</v>
      </c>
      <c r="C50" s="2">
        <v>1</v>
      </c>
      <c r="D50" s="2">
        <v>0</v>
      </c>
      <c r="E50" s="47"/>
    </row>
    <row r="51" spans="1:5" x14ac:dyDescent="0.25">
      <c r="A51" s="2">
        <v>50</v>
      </c>
      <c r="B51" s="3">
        <v>3.24</v>
      </c>
      <c r="C51" s="2">
        <v>0</v>
      </c>
      <c r="D51" s="2">
        <v>0</v>
      </c>
      <c r="E51" s="47"/>
    </row>
    <row r="52" spans="1:5" x14ac:dyDescent="0.25">
      <c r="A52" s="2">
        <v>51</v>
      </c>
      <c r="B52" s="3">
        <v>3.22</v>
      </c>
      <c r="C52" s="2">
        <v>0</v>
      </c>
      <c r="D52" s="2">
        <v>1</v>
      </c>
      <c r="E52" s="47"/>
    </row>
    <row r="53" spans="1:5" x14ac:dyDescent="0.25">
      <c r="A53" s="2">
        <v>52</v>
      </c>
      <c r="B53" s="3">
        <v>3.05</v>
      </c>
      <c r="C53" s="2">
        <v>0</v>
      </c>
      <c r="D53" s="2">
        <v>0</v>
      </c>
      <c r="E53" s="47"/>
    </row>
    <row r="54" spans="1:5" x14ac:dyDescent="0.25">
      <c r="A54" s="2">
        <v>53</v>
      </c>
      <c r="B54" s="3">
        <v>2.66</v>
      </c>
      <c r="C54" s="2">
        <v>0</v>
      </c>
      <c r="D54" s="2">
        <v>1</v>
      </c>
      <c r="E54" s="47"/>
    </row>
    <row r="55" spans="1:5" x14ac:dyDescent="0.25">
      <c r="A55" s="2">
        <v>54</v>
      </c>
      <c r="B55" s="3">
        <v>2.88</v>
      </c>
      <c r="C55" s="2">
        <v>0</v>
      </c>
      <c r="D55" s="2">
        <v>0</v>
      </c>
      <c r="E55" s="47"/>
    </row>
    <row r="56" spans="1:5" x14ac:dyDescent="0.25">
      <c r="A56" s="2">
        <v>55</v>
      </c>
      <c r="B56" s="3">
        <v>2.6</v>
      </c>
      <c r="C56" s="2">
        <v>0</v>
      </c>
      <c r="D56" s="2">
        <v>0</v>
      </c>
      <c r="E56" s="47"/>
    </row>
    <row r="57" spans="1:5" x14ac:dyDescent="0.25">
      <c r="A57" s="2">
        <v>56</v>
      </c>
      <c r="B57" s="3">
        <v>3.12</v>
      </c>
      <c r="C57" s="2">
        <v>0</v>
      </c>
      <c r="D57" s="2">
        <v>0</v>
      </c>
      <c r="E57" s="47"/>
    </row>
    <row r="58" spans="1:5" x14ac:dyDescent="0.25">
      <c r="A58" s="2">
        <v>57</v>
      </c>
      <c r="B58" s="3">
        <v>3.12</v>
      </c>
      <c r="C58" s="2">
        <v>0</v>
      </c>
      <c r="D58" s="2">
        <v>0</v>
      </c>
      <c r="E58" s="47"/>
    </row>
    <row r="59" spans="1:5" x14ac:dyDescent="0.25">
      <c r="A59" s="2">
        <v>58</v>
      </c>
      <c r="B59" s="3">
        <v>2.72</v>
      </c>
      <c r="C59" s="2">
        <v>0</v>
      </c>
      <c r="D59" s="2">
        <v>0</v>
      </c>
      <c r="E59" s="47"/>
    </row>
    <row r="60" spans="1:5" x14ac:dyDescent="0.25">
      <c r="A60" s="2">
        <v>59</v>
      </c>
      <c r="B60" s="3">
        <v>3.38</v>
      </c>
      <c r="C60" s="2">
        <v>0</v>
      </c>
      <c r="D60" s="2">
        <v>0</v>
      </c>
      <c r="E60" s="47"/>
    </row>
    <row r="61" spans="1:5" x14ac:dyDescent="0.25">
      <c r="A61" s="2">
        <v>60</v>
      </c>
      <c r="B61" s="3">
        <v>3.29</v>
      </c>
      <c r="C61" s="2">
        <v>1</v>
      </c>
      <c r="D61" s="2">
        <v>0</v>
      </c>
      <c r="E61" s="47"/>
    </row>
    <row r="62" spans="1:5" x14ac:dyDescent="0.25">
      <c r="A62" s="2">
        <v>61</v>
      </c>
      <c r="B62" s="3">
        <v>3.49</v>
      </c>
      <c r="C62" s="2">
        <v>1</v>
      </c>
      <c r="D62" s="2">
        <v>0</v>
      </c>
      <c r="E62" s="47"/>
    </row>
    <row r="63" spans="1:5" x14ac:dyDescent="0.25">
      <c r="A63" s="2">
        <v>62</v>
      </c>
      <c r="B63" s="3">
        <v>2.89</v>
      </c>
      <c r="C63" s="2">
        <v>0</v>
      </c>
      <c r="D63" s="2">
        <v>0</v>
      </c>
      <c r="E63" s="47"/>
    </row>
    <row r="64" spans="1:5" x14ac:dyDescent="0.25">
      <c r="A64" s="2">
        <v>63</v>
      </c>
      <c r="B64" s="3">
        <v>2.46</v>
      </c>
      <c r="C64" s="2">
        <v>0</v>
      </c>
      <c r="D64" s="2">
        <v>0</v>
      </c>
      <c r="E64" s="47"/>
    </row>
    <row r="65" spans="1:5" x14ac:dyDescent="0.25">
      <c r="A65" s="2">
        <v>64</v>
      </c>
      <c r="B65" s="3">
        <v>2.8499999999999996</v>
      </c>
      <c r="C65" s="2">
        <v>0</v>
      </c>
      <c r="D65" s="2">
        <v>0</v>
      </c>
      <c r="E65" s="47"/>
    </row>
    <row r="66" spans="1:5" x14ac:dyDescent="0.25">
      <c r="A66" s="2">
        <v>65</v>
      </c>
      <c r="B66" s="3">
        <v>2.77</v>
      </c>
      <c r="C66" s="2">
        <v>0</v>
      </c>
      <c r="D66" s="2">
        <v>0</v>
      </c>
      <c r="E66" s="47"/>
    </row>
    <row r="67" spans="1:5" x14ac:dyDescent="0.25">
      <c r="A67" s="2">
        <v>66</v>
      </c>
      <c r="B67" s="3">
        <v>2.61</v>
      </c>
      <c r="C67" s="2">
        <v>0</v>
      </c>
      <c r="D67" s="2">
        <v>1</v>
      </c>
      <c r="E67" s="47"/>
    </row>
    <row r="68" spans="1:5" x14ac:dyDescent="0.25">
      <c r="A68" s="2">
        <v>67</v>
      </c>
      <c r="B68" s="3">
        <v>2.44</v>
      </c>
      <c r="C68" s="2">
        <v>0</v>
      </c>
      <c r="D68" s="2">
        <v>1</v>
      </c>
      <c r="E68" s="47"/>
    </row>
    <row r="69" spans="1:5" x14ac:dyDescent="0.25">
      <c r="A69" s="2">
        <v>68</v>
      </c>
      <c r="B69" s="3">
        <v>3.1</v>
      </c>
      <c r="C69" s="2">
        <v>0</v>
      </c>
      <c r="D69" s="2">
        <v>0</v>
      </c>
      <c r="E69" s="47"/>
    </row>
    <row r="70" spans="1:5" x14ac:dyDescent="0.25">
      <c r="A70" s="2">
        <v>69</v>
      </c>
      <c r="B70" s="3">
        <v>3.87</v>
      </c>
      <c r="C70" s="2">
        <v>1</v>
      </c>
      <c r="D70" s="2">
        <v>0</v>
      </c>
      <c r="E70" s="47"/>
    </row>
    <row r="71" spans="1:5" x14ac:dyDescent="0.25">
      <c r="A71" s="2">
        <v>70</v>
      </c>
      <c r="B71" s="3">
        <v>3.25</v>
      </c>
      <c r="C71" s="2">
        <v>0</v>
      </c>
      <c r="D71" s="2">
        <v>0</v>
      </c>
      <c r="E71" s="47"/>
    </row>
    <row r="72" spans="1:5" x14ac:dyDescent="0.25">
      <c r="A72" s="2">
        <v>71</v>
      </c>
      <c r="B72" s="3">
        <v>2.44</v>
      </c>
      <c r="C72" s="2">
        <v>0</v>
      </c>
      <c r="D72" s="2">
        <v>0</v>
      </c>
      <c r="E72" s="47"/>
    </row>
    <row r="73" spans="1:5" x14ac:dyDescent="0.25">
      <c r="A73" s="2">
        <v>72</v>
      </c>
      <c r="B73" s="3">
        <v>2.66</v>
      </c>
      <c r="C73" s="2">
        <v>0</v>
      </c>
      <c r="D73" s="2">
        <v>0</v>
      </c>
      <c r="E73" s="47"/>
    </row>
    <row r="74" spans="1:5" x14ac:dyDescent="0.25">
      <c r="A74" s="2">
        <v>73</v>
      </c>
      <c r="B74" s="3">
        <v>3.06</v>
      </c>
      <c r="C74" s="2">
        <v>1</v>
      </c>
      <c r="D74" s="2">
        <v>0</v>
      </c>
      <c r="E74" s="47"/>
    </row>
    <row r="75" spans="1:5" x14ac:dyDescent="0.25">
      <c r="A75" s="2">
        <v>74</v>
      </c>
      <c r="B75" s="3">
        <v>2.75</v>
      </c>
      <c r="C75" s="2">
        <v>1</v>
      </c>
      <c r="D75" s="2">
        <v>0</v>
      </c>
      <c r="E75" s="47"/>
    </row>
    <row r="76" spans="1:5" x14ac:dyDescent="0.25">
      <c r="A76" s="2">
        <v>75</v>
      </c>
      <c r="B76" s="3">
        <v>3.65</v>
      </c>
      <c r="C76" s="2">
        <v>1</v>
      </c>
      <c r="D76" s="2">
        <v>0</v>
      </c>
      <c r="E76" s="47"/>
    </row>
    <row r="77" spans="1:5" x14ac:dyDescent="0.25">
      <c r="A77" s="2">
        <v>76</v>
      </c>
      <c r="B77" s="3">
        <v>2.61</v>
      </c>
      <c r="C77" s="2">
        <v>0</v>
      </c>
      <c r="D77" s="2">
        <v>1</v>
      </c>
      <c r="E77" s="47"/>
    </row>
    <row r="78" spans="1:5" x14ac:dyDescent="0.25">
      <c r="A78" s="2">
        <v>77</v>
      </c>
      <c r="B78" s="3">
        <v>3.41</v>
      </c>
      <c r="C78" s="2">
        <v>0</v>
      </c>
      <c r="D78" s="2">
        <v>0</v>
      </c>
      <c r="E78" s="47"/>
    </row>
    <row r="79" spans="1:5" x14ac:dyDescent="0.25">
      <c r="A79" s="2">
        <v>78</v>
      </c>
      <c r="B79" s="3">
        <v>2.91</v>
      </c>
      <c r="C79" s="2">
        <v>1</v>
      </c>
      <c r="D79" s="2">
        <v>0</v>
      </c>
      <c r="E79" s="47"/>
    </row>
    <row r="80" spans="1:5" x14ac:dyDescent="0.25">
      <c r="A80" s="2">
        <v>79</v>
      </c>
      <c r="B80" s="3">
        <v>2.15</v>
      </c>
      <c r="C80" s="2">
        <v>0</v>
      </c>
      <c r="D80" s="2">
        <v>0</v>
      </c>
      <c r="E80" s="47"/>
    </row>
    <row r="81" spans="1:5" x14ac:dyDescent="0.25">
      <c r="A81" s="2">
        <v>80</v>
      </c>
      <c r="B81" s="3">
        <v>2.4900000000000002</v>
      </c>
      <c r="C81" s="2">
        <v>0</v>
      </c>
      <c r="D81" s="2">
        <v>1</v>
      </c>
      <c r="E81" s="47"/>
    </row>
    <row r="82" spans="1:5" x14ac:dyDescent="0.25">
      <c r="A82" s="2">
        <v>81</v>
      </c>
      <c r="B82" s="3">
        <v>3.45</v>
      </c>
      <c r="C82" s="2">
        <v>0</v>
      </c>
      <c r="D82" s="2">
        <v>0</v>
      </c>
      <c r="E82" s="47"/>
    </row>
    <row r="83" spans="1:5" x14ac:dyDescent="0.25">
      <c r="A83" s="2">
        <v>82</v>
      </c>
      <c r="B83" s="3">
        <v>2.9299999999999997</v>
      </c>
      <c r="C83" s="2">
        <v>0</v>
      </c>
      <c r="D83" s="2">
        <v>1</v>
      </c>
      <c r="E83" s="47"/>
    </row>
    <row r="84" spans="1:5" x14ac:dyDescent="0.25">
      <c r="A84" s="2">
        <v>83</v>
      </c>
      <c r="B84" s="3">
        <v>2.2200000000000002</v>
      </c>
      <c r="C84" s="2">
        <v>0</v>
      </c>
      <c r="D84" s="2">
        <v>1</v>
      </c>
      <c r="E84" s="47"/>
    </row>
    <row r="85" spans="1:5" x14ac:dyDescent="0.25">
      <c r="A85" s="2">
        <v>84</v>
      </c>
      <c r="B85" s="3">
        <v>2.5099999999999998</v>
      </c>
      <c r="C85" s="2">
        <v>0</v>
      </c>
      <c r="D85" s="2">
        <v>1</v>
      </c>
      <c r="E85" s="47"/>
    </row>
    <row r="86" spans="1:5" x14ac:dyDescent="0.25">
      <c r="A86" s="2">
        <v>85</v>
      </c>
      <c r="B86" s="3">
        <v>2.99</v>
      </c>
      <c r="C86" s="2">
        <v>0</v>
      </c>
      <c r="D86" s="2">
        <v>0</v>
      </c>
      <c r="E86" s="47"/>
    </row>
    <row r="87" spans="1:5" x14ac:dyDescent="0.25">
      <c r="A87" s="2">
        <v>86</v>
      </c>
      <c r="B87" s="3">
        <v>3.48</v>
      </c>
      <c r="C87" s="2">
        <v>0</v>
      </c>
      <c r="D87" s="2">
        <v>0</v>
      </c>
      <c r="E87" s="47"/>
    </row>
    <row r="88" spans="1:5" x14ac:dyDescent="0.25">
      <c r="A88" s="2">
        <v>87</v>
      </c>
      <c r="B88" s="3">
        <v>2.75</v>
      </c>
      <c r="C88" s="2">
        <v>0</v>
      </c>
      <c r="D88" s="2">
        <v>0</v>
      </c>
      <c r="E88" s="47"/>
    </row>
    <row r="89" spans="1:5" x14ac:dyDescent="0.25">
      <c r="A89" s="2">
        <v>88</v>
      </c>
      <c r="B89" s="3">
        <v>3.71</v>
      </c>
      <c r="C89" s="2">
        <v>1</v>
      </c>
      <c r="D89" s="2">
        <v>0</v>
      </c>
      <c r="E89" s="47"/>
    </row>
    <row r="90" spans="1:5" x14ac:dyDescent="0.25">
      <c r="A90" s="2">
        <v>89</v>
      </c>
      <c r="B90" s="3">
        <v>2.11</v>
      </c>
      <c r="C90" s="2">
        <v>0</v>
      </c>
      <c r="D90" s="2">
        <v>1</v>
      </c>
      <c r="E90" s="47"/>
    </row>
    <row r="91" spans="1:5" x14ac:dyDescent="0.25">
      <c r="A91" s="2">
        <v>90</v>
      </c>
      <c r="B91" s="3">
        <v>2.86</v>
      </c>
      <c r="C91" s="2">
        <v>0</v>
      </c>
      <c r="D91" s="2">
        <v>0</v>
      </c>
      <c r="E91" s="47"/>
    </row>
    <row r="92" spans="1:5" x14ac:dyDescent="0.25">
      <c r="A92" s="2">
        <v>91</v>
      </c>
      <c r="B92" s="3">
        <v>2.87</v>
      </c>
      <c r="C92" s="2">
        <v>0</v>
      </c>
      <c r="D92" s="2">
        <v>0</v>
      </c>
      <c r="E92" s="47"/>
    </row>
    <row r="93" spans="1:5" x14ac:dyDescent="0.25">
      <c r="A93" s="2">
        <v>92</v>
      </c>
      <c r="B93" s="3">
        <v>2.64</v>
      </c>
      <c r="C93" s="2">
        <v>1</v>
      </c>
      <c r="D93" s="2">
        <v>0</v>
      </c>
      <c r="E93" s="47"/>
    </row>
    <row r="94" spans="1:5" x14ac:dyDescent="0.25">
      <c r="A94" s="2">
        <v>93</v>
      </c>
      <c r="B94" s="3">
        <v>2.56</v>
      </c>
      <c r="C94" s="2">
        <v>0</v>
      </c>
      <c r="D94" s="2">
        <v>1</v>
      </c>
      <c r="E94" s="47"/>
    </row>
    <row r="95" spans="1:5" x14ac:dyDescent="0.25">
      <c r="A95" s="2">
        <v>94</v>
      </c>
      <c r="B95" s="3">
        <v>3.48</v>
      </c>
      <c r="C95" s="2">
        <v>0</v>
      </c>
      <c r="D95" s="2">
        <v>0</v>
      </c>
      <c r="E95" s="47"/>
    </row>
    <row r="96" spans="1:5" x14ac:dyDescent="0.25">
      <c r="A96" s="2">
        <v>95</v>
      </c>
      <c r="B96" s="3">
        <v>3.04</v>
      </c>
      <c r="C96" s="2">
        <v>0</v>
      </c>
      <c r="D96" s="2">
        <v>0</v>
      </c>
      <c r="E96" s="47"/>
    </row>
    <row r="97" spans="1:5" x14ac:dyDescent="0.25">
      <c r="A97" s="2">
        <v>96</v>
      </c>
      <c r="B97" s="3">
        <v>2.25</v>
      </c>
      <c r="C97" s="2">
        <v>0</v>
      </c>
      <c r="D97" s="2">
        <v>0</v>
      </c>
      <c r="E97" s="47"/>
    </row>
    <row r="98" spans="1:5" x14ac:dyDescent="0.25">
      <c r="A98" s="2">
        <v>97</v>
      </c>
      <c r="B98" s="3">
        <v>2.54</v>
      </c>
      <c r="C98" s="2">
        <v>0</v>
      </c>
      <c r="D98" s="2">
        <v>1</v>
      </c>
      <c r="E98" s="47"/>
    </row>
    <row r="99" spans="1:5" x14ac:dyDescent="0.25">
      <c r="A99" s="2">
        <v>98</v>
      </c>
      <c r="B99" s="3">
        <v>2.57</v>
      </c>
      <c r="C99" s="2">
        <v>0</v>
      </c>
      <c r="D99" s="2">
        <v>0</v>
      </c>
      <c r="E99" s="47"/>
    </row>
    <row r="100" spans="1:5" x14ac:dyDescent="0.25">
      <c r="A100" s="2">
        <v>99</v>
      </c>
      <c r="B100" s="3">
        <v>2.65</v>
      </c>
      <c r="C100" s="2">
        <v>0</v>
      </c>
      <c r="D100" s="2">
        <v>0</v>
      </c>
      <c r="E100" s="47"/>
    </row>
    <row r="101" spans="1:5" x14ac:dyDescent="0.25">
      <c r="A101" s="2">
        <v>100</v>
      </c>
      <c r="B101" s="3">
        <v>3.85</v>
      </c>
      <c r="C101" s="2">
        <v>0</v>
      </c>
      <c r="D101" s="2">
        <v>0</v>
      </c>
      <c r="E101" s="47"/>
    </row>
    <row r="102" spans="1:5" x14ac:dyDescent="0.25">
      <c r="A102" s="2">
        <v>101</v>
      </c>
      <c r="B102" s="3">
        <v>3.04</v>
      </c>
      <c r="C102" s="2">
        <v>0</v>
      </c>
      <c r="D102" s="2">
        <v>0</v>
      </c>
      <c r="E102" s="47"/>
    </row>
    <row r="103" spans="1:5" x14ac:dyDescent="0.25">
      <c r="A103" s="2">
        <v>102</v>
      </c>
      <c r="B103" s="3">
        <v>2.69</v>
      </c>
      <c r="C103" s="2">
        <v>0</v>
      </c>
      <c r="D103" s="2">
        <v>0</v>
      </c>
      <c r="E103" s="47"/>
    </row>
    <row r="104" spans="1:5" x14ac:dyDescent="0.25">
      <c r="A104" s="2">
        <v>103</v>
      </c>
      <c r="B104" s="3">
        <v>3.06</v>
      </c>
      <c r="C104" s="2">
        <v>0</v>
      </c>
      <c r="D104" s="2">
        <v>0</v>
      </c>
      <c r="E104" s="47"/>
    </row>
    <row r="105" spans="1:5" x14ac:dyDescent="0.25">
      <c r="A105" s="2">
        <v>104</v>
      </c>
      <c r="B105" s="3">
        <v>3.05</v>
      </c>
      <c r="C105" s="2">
        <v>0</v>
      </c>
      <c r="D105" s="2">
        <v>0</v>
      </c>
      <c r="E105" s="47"/>
    </row>
    <row r="106" spans="1:5" x14ac:dyDescent="0.25">
      <c r="A106" s="2">
        <v>105</v>
      </c>
      <c r="B106" s="3">
        <v>3.37</v>
      </c>
      <c r="C106" s="2">
        <v>0</v>
      </c>
      <c r="D106" s="2">
        <v>0</v>
      </c>
      <c r="E106" s="47"/>
    </row>
    <row r="107" spans="1:5" x14ac:dyDescent="0.25">
      <c r="A107" s="2">
        <v>106</v>
      </c>
      <c r="B107" s="3">
        <v>2.5299999999999998</v>
      </c>
      <c r="C107" s="2">
        <v>0</v>
      </c>
      <c r="D107" s="2">
        <v>0</v>
      </c>
      <c r="E107" s="47"/>
    </row>
    <row r="108" spans="1:5" x14ac:dyDescent="0.25">
      <c r="A108" s="2">
        <v>107</v>
      </c>
      <c r="B108" s="3">
        <v>3.34</v>
      </c>
      <c r="C108" s="2">
        <v>1</v>
      </c>
      <c r="D108" s="2">
        <v>0</v>
      </c>
      <c r="E108" s="47"/>
    </row>
    <row r="109" spans="1:5" x14ac:dyDescent="0.25">
      <c r="A109" s="2">
        <v>108</v>
      </c>
      <c r="B109" s="3">
        <v>3.2</v>
      </c>
      <c r="C109" s="2">
        <v>1</v>
      </c>
      <c r="D109" s="2">
        <v>0</v>
      </c>
      <c r="E109" s="47"/>
    </row>
    <row r="110" spans="1:5" x14ac:dyDescent="0.25">
      <c r="A110" s="2">
        <v>109</v>
      </c>
      <c r="B110" s="3">
        <v>3.12</v>
      </c>
      <c r="C110" s="2">
        <v>0</v>
      </c>
      <c r="D110" s="2">
        <v>0</v>
      </c>
      <c r="E110" s="47"/>
    </row>
    <row r="111" spans="1:5" x14ac:dyDescent="0.25">
      <c r="A111" s="2">
        <v>110</v>
      </c>
      <c r="B111" s="3">
        <v>2.9</v>
      </c>
      <c r="C111" s="2">
        <v>0</v>
      </c>
      <c r="D111" s="2">
        <v>0</v>
      </c>
      <c r="E111" s="47"/>
    </row>
    <row r="112" spans="1:5" x14ac:dyDescent="0.25">
      <c r="A112" s="2">
        <v>111</v>
      </c>
      <c r="B112" s="3">
        <v>2.5</v>
      </c>
      <c r="C112" s="2">
        <v>0</v>
      </c>
      <c r="D112" s="2">
        <v>1</v>
      </c>
      <c r="E112" s="47"/>
    </row>
    <row r="113" spans="1:5" x14ac:dyDescent="0.25">
      <c r="A113" s="2">
        <v>112</v>
      </c>
      <c r="B113" s="3">
        <v>3.27</v>
      </c>
      <c r="C113" s="2">
        <v>0</v>
      </c>
      <c r="D113" s="2">
        <v>0</v>
      </c>
      <c r="E113" s="47"/>
    </row>
    <row r="114" spans="1:5" x14ac:dyDescent="0.25">
      <c r="A114" s="2">
        <v>113</v>
      </c>
      <c r="B114" s="3">
        <v>2.73</v>
      </c>
      <c r="C114" s="2">
        <v>0</v>
      </c>
      <c r="D114" s="2">
        <v>1</v>
      </c>
      <c r="E114" s="47"/>
    </row>
    <row r="115" spans="1:5" x14ac:dyDescent="0.25">
      <c r="A115" s="2">
        <v>114</v>
      </c>
      <c r="B115" s="3">
        <v>2.7</v>
      </c>
      <c r="C115" s="2">
        <v>0</v>
      </c>
      <c r="D115" s="2">
        <v>1</v>
      </c>
      <c r="E115" s="47"/>
    </row>
    <row r="116" spans="1:5" x14ac:dyDescent="0.25">
      <c r="A116" s="2">
        <v>115</v>
      </c>
      <c r="B116" s="3">
        <v>2.29</v>
      </c>
      <c r="C116" s="2">
        <v>0</v>
      </c>
      <c r="D116" s="2">
        <v>0</v>
      </c>
      <c r="E116" s="47"/>
    </row>
    <row r="117" spans="1:5" x14ac:dyDescent="0.25">
      <c r="A117" s="2">
        <v>116</v>
      </c>
      <c r="B117" s="3">
        <v>2.79</v>
      </c>
      <c r="C117" s="2">
        <v>0</v>
      </c>
      <c r="D117" s="2">
        <v>0</v>
      </c>
      <c r="E117" s="47"/>
    </row>
    <row r="118" spans="1:5" x14ac:dyDescent="0.25">
      <c r="A118" s="2">
        <v>117</v>
      </c>
      <c r="B118" s="3">
        <v>2.88</v>
      </c>
      <c r="C118" s="2">
        <v>1</v>
      </c>
      <c r="D118" s="2">
        <v>1</v>
      </c>
      <c r="E118" s="47"/>
    </row>
    <row r="119" spans="1:5" x14ac:dyDescent="0.25">
      <c r="A119" s="2">
        <v>118</v>
      </c>
      <c r="B119" s="3">
        <v>2.34</v>
      </c>
      <c r="C119" s="2">
        <v>0</v>
      </c>
      <c r="D119" s="2">
        <v>0</v>
      </c>
      <c r="E119" s="47"/>
    </row>
    <row r="120" spans="1:5" x14ac:dyDescent="0.25">
      <c r="A120" s="2">
        <v>119</v>
      </c>
      <c r="B120" s="3">
        <v>3.4</v>
      </c>
      <c r="C120" s="2">
        <v>0</v>
      </c>
      <c r="D120" s="2">
        <v>0</v>
      </c>
      <c r="E120" s="47"/>
    </row>
    <row r="121" spans="1:5" x14ac:dyDescent="0.25">
      <c r="A121" s="2">
        <v>120</v>
      </c>
      <c r="B121" s="3">
        <v>2.62</v>
      </c>
      <c r="C121" s="2">
        <v>0</v>
      </c>
      <c r="D121" s="2">
        <v>0</v>
      </c>
      <c r="E121" s="47"/>
    </row>
    <row r="122" spans="1:5" x14ac:dyDescent="0.25">
      <c r="A122" s="2">
        <v>121</v>
      </c>
      <c r="B122" s="3">
        <v>3.41</v>
      </c>
      <c r="C122" s="2">
        <v>0</v>
      </c>
      <c r="D122" s="2">
        <v>0</v>
      </c>
      <c r="E122" s="47"/>
    </row>
    <row r="123" spans="1:5" x14ac:dyDescent="0.25">
      <c r="A123" s="2">
        <v>122</v>
      </c>
      <c r="B123" s="3">
        <v>2.62</v>
      </c>
      <c r="C123" s="2">
        <v>1</v>
      </c>
      <c r="D123" s="2">
        <v>0</v>
      </c>
      <c r="E123" s="47"/>
    </row>
    <row r="124" spans="1:5" x14ac:dyDescent="0.25">
      <c r="A124" s="2">
        <v>123</v>
      </c>
      <c r="B124" s="3">
        <v>2.64</v>
      </c>
      <c r="C124" s="2">
        <v>0</v>
      </c>
      <c r="D124" s="2">
        <v>0</v>
      </c>
      <c r="E124" s="47"/>
    </row>
    <row r="125" spans="1:5" x14ac:dyDescent="0.25">
      <c r="A125" s="2">
        <v>124</v>
      </c>
      <c r="B125" s="3">
        <v>2.63</v>
      </c>
      <c r="C125" s="2">
        <v>0</v>
      </c>
      <c r="D125" s="2">
        <v>0</v>
      </c>
      <c r="E125" s="47"/>
    </row>
    <row r="126" spans="1:5" x14ac:dyDescent="0.25">
      <c r="A126" s="2">
        <v>125</v>
      </c>
      <c r="B126" s="3">
        <v>2.75</v>
      </c>
      <c r="C126" s="2">
        <v>0</v>
      </c>
      <c r="D126" s="2">
        <v>0</v>
      </c>
      <c r="E126" s="47"/>
    </row>
    <row r="127" spans="1:5" x14ac:dyDescent="0.25">
      <c r="A127" s="2">
        <v>126</v>
      </c>
      <c r="B127" s="3">
        <v>3.34</v>
      </c>
      <c r="C127" s="2">
        <v>0</v>
      </c>
      <c r="D127" s="2">
        <v>0</v>
      </c>
      <c r="E127" s="47"/>
    </row>
    <row r="128" spans="1:5" x14ac:dyDescent="0.25">
      <c r="A128" s="2">
        <v>127</v>
      </c>
      <c r="B128" s="3">
        <v>2.63</v>
      </c>
      <c r="C128" s="2">
        <v>0</v>
      </c>
      <c r="D128" s="2">
        <v>0</v>
      </c>
      <c r="E128" s="47"/>
    </row>
    <row r="129" spans="1:5" x14ac:dyDescent="0.25">
      <c r="A129" s="2">
        <v>128</v>
      </c>
      <c r="B129" s="3">
        <v>2.14</v>
      </c>
      <c r="C129" s="2">
        <v>0</v>
      </c>
      <c r="D129" s="2">
        <v>0</v>
      </c>
      <c r="E129" s="47"/>
    </row>
    <row r="130" spans="1:5" x14ac:dyDescent="0.25">
      <c r="A130" s="2">
        <v>129</v>
      </c>
      <c r="B130" s="3">
        <v>3.06</v>
      </c>
      <c r="C130" s="2">
        <v>0</v>
      </c>
      <c r="D130" s="2">
        <v>0</v>
      </c>
      <c r="E130" s="47"/>
    </row>
    <row r="131" spans="1:5" x14ac:dyDescent="0.25">
      <c r="A131" s="2">
        <v>130</v>
      </c>
      <c r="B131" s="3">
        <v>3.05</v>
      </c>
      <c r="C131" s="2">
        <v>0</v>
      </c>
      <c r="D131" s="2">
        <v>1</v>
      </c>
      <c r="E131" s="47"/>
    </row>
    <row r="132" spans="1:5" x14ac:dyDescent="0.25">
      <c r="A132" s="2">
        <v>131</v>
      </c>
      <c r="B132" s="3">
        <v>2.35</v>
      </c>
      <c r="C132" s="2">
        <v>0</v>
      </c>
      <c r="D132" s="2">
        <v>0</v>
      </c>
      <c r="E132" s="47"/>
    </row>
    <row r="133" spans="1:5" x14ac:dyDescent="0.25">
      <c r="A133" s="2">
        <v>132</v>
      </c>
      <c r="B133" s="3">
        <v>2.83</v>
      </c>
      <c r="C133" s="2">
        <v>0</v>
      </c>
      <c r="D133" s="2">
        <v>1</v>
      </c>
      <c r="E133" s="47"/>
    </row>
    <row r="134" spans="1:5" x14ac:dyDescent="0.25">
      <c r="A134" s="2">
        <v>133</v>
      </c>
      <c r="B134" s="3">
        <v>3.35</v>
      </c>
      <c r="C134" s="2">
        <v>1</v>
      </c>
      <c r="D134" s="2">
        <v>0</v>
      </c>
      <c r="E134" s="47"/>
    </row>
    <row r="135" spans="1:5" x14ac:dyDescent="0.25">
      <c r="A135" s="2">
        <v>134</v>
      </c>
      <c r="B135" s="3">
        <v>3.33</v>
      </c>
      <c r="C135" s="2">
        <v>0</v>
      </c>
      <c r="D135" s="2">
        <v>0</v>
      </c>
      <c r="E135" s="47"/>
    </row>
    <row r="136" spans="1:5" x14ac:dyDescent="0.25">
      <c r="A136" s="2">
        <v>135</v>
      </c>
      <c r="B136" s="3">
        <v>2.17</v>
      </c>
      <c r="C136" s="2">
        <v>0</v>
      </c>
      <c r="D136" s="2">
        <v>0</v>
      </c>
      <c r="E136" s="47"/>
    </row>
    <row r="137" spans="1:5" x14ac:dyDescent="0.25">
      <c r="A137" s="2">
        <v>136</v>
      </c>
      <c r="B137" s="3">
        <v>2.16</v>
      </c>
      <c r="C137" s="2">
        <v>0</v>
      </c>
      <c r="D137" s="2">
        <v>0</v>
      </c>
      <c r="E137" s="47"/>
    </row>
    <row r="138" spans="1:5" x14ac:dyDescent="0.25">
      <c r="A138" s="2">
        <v>137</v>
      </c>
      <c r="B138" s="3">
        <v>3.33</v>
      </c>
      <c r="C138" s="2">
        <v>0</v>
      </c>
      <c r="D138" s="2">
        <v>0</v>
      </c>
      <c r="E138" s="47"/>
    </row>
    <row r="139" spans="1:5" x14ac:dyDescent="0.25">
      <c r="A139" s="2">
        <v>138</v>
      </c>
      <c r="B139" s="3">
        <v>2.56</v>
      </c>
      <c r="C139" s="2">
        <v>0</v>
      </c>
      <c r="D139" s="2">
        <v>1</v>
      </c>
      <c r="E139" s="47"/>
    </row>
    <row r="140" spans="1:5" x14ac:dyDescent="0.25">
      <c r="A140" s="2">
        <v>139</v>
      </c>
      <c r="B140" s="3">
        <v>3.19</v>
      </c>
      <c r="C140" s="2">
        <v>0</v>
      </c>
      <c r="D140" s="2">
        <v>0</v>
      </c>
      <c r="E140" s="47"/>
    </row>
    <row r="141" spans="1:5" x14ac:dyDescent="0.25">
      <c r="A141" s="2">
        <v>140</v>
      </c>
      <c r="B141" s="3">
        <v>2.95</v>
      </c>
      <c r="C141" s="2">
        <v>0</v>
      </c>
      <c r="D141" s="2">
        <v>0</v>
      </c>
      <c r="E141" s="47"/>
    </row>
    <row r="142" spans="1:5" x14ac:dyDescent="0.25">
      <c r="A142" s="2">
        <v>141</v>
      </c>
      <c r="B142" s="3">
        <v>2.4</v>
      </c>
      <c r="C142" s="2">
        <v>0</v>
      </c>
      <c r="D142" s="2">
        <v>0</v>
      </c>
      <c r="E142" s="47"/>
    </row>
    <row r="143" spans="1:5" x14ac:dyDescent="0.25">
      <c r="A143" s="2">
        <v>142</v>
      </c>
      <c r="B143" s="3">
        <v>2.5099999999999998</v>
      </c>
      <c r="C143" s="2">
        <v>0</v>
      </c>
      <c r="D143" s="2">
        <v>0</v>
      </c>
      <c r="E143" s="47"/>
    </row>
    <row r="144" spans="1:5" x14ac:dyDescent="0.25">
      <c r="A144" s="2">
        <v>143</v>
      </c>
      <c r="B144" s="3">
        <v>2.86</v>
      </c>
      <c r="C144" s="2">
        <v>1</v>
      </c>
      <c r="D144" s="2">
        <v>0</v>
      </c>
      <c r="E144" s="47"/>
    </row>
    <row r="145" spans="1:5" x14ac:dyDescent="0.25">
      <c r="A145" s="2">
        <v>144</v>
      </c>
      <c r="B145" s="3">
        <v>2.12</v>
      </c>
      <c r="C145" s="2">
        <v>0</v>
      </c>
      <c r="D145" s="2">
        <v>0</v>
      </c>
      <c r="E145" s="47"/>
    </row>
    <row r="146" spans="1:5" x14ac:dyDescent="0.25">
      <c r="A146" s="2">
        <v>145</v>
      </c>
      <c r="B146" s="3">
        <v>2.69</v>
      </c>
      <c r="C146" s="2">
        <v>1</v>
      </c>
      <c r="D146" s="2">
        <v>1</v>
      </c>
      <c r="E146" s="47"/>
    </row>
    <row r="147" spans="1:5" x14ac:dyDescent="0.25">
      <c r="A147" s="2">
        <v>146</v>
      </c>
      <c r="B147" s="3">
        <v>3.12</v>
      </c>
      <c r="C147" s="2">
        <v>0</v>
      </c>
      <c r="D147" s="2">
        <v>0</v>
      </c>
      <c r="E147" s="47"/>
    </row>
    <row r="148" spans="1:5" x14ac:dyDescent="0.25">
      <c r="A148" s="2">
        <v>147</v>
      </c>
      <c r="B148" s="3">
        <v>2.16</v>
      </c>
      <c r="C148" s="2">
        <v>0</v>
      </c>
      <c r="D148" s="2">
        <v>0</v>
      </c>
      <c r="E148" s="47"/>
    </row>
    <row r="149" spans="1:5" x14ac:dyDescent="0.25">
      <c r="A149" s="2">
        <v>148</v>
      </c>
      <c r="B149" s="3">
        <v>3.38</v>
      </c>
      <c r="C149" s="2">
        <v>1</v>
      </c>
      <c r="D149" s="2">
        <v>0</v>
      </c>
      <c r="E149" s="47"/>
    </row>
    <row r="150" spans="1:5" x14ac:dyDescent="0.25">
      <c r="A150" s="2">
        <v>149</v>
      </c>
      <c r="B150" s="3">
        <v>2.33</v>
      </c>
      <c r="C150" s="2">
        <v>0</v>
      </c>
      <c r="D150" s="2">
        <v>0</v>
      </c>
      <c r="E150" s="47"/>
    </row>
    <row r="151" spans="1:5" x14ac:dyDescent="0.25">
      <c r="A151" s="2">
        <v>150</v>
      </c>
      <c r="B151" s="3">
        <v>2.82</v>
      </c>
      <c r="C151" s="2">
        <v>1</v>
      </c>
      <c r="D151" s="2">
        <v>0</v>
      </c>
      <c r="E151" s="47"/>
    </row>
    <row r="152" spans="1:5" x14ac:dyDescent="0.25">
      <c r="A152" s="2">
        <v>151</v>
      </c>
      <c r="B152" s="3">
        <v>2.5499999999999998</v>
      </c>
      <c r="C152" s="2">
        <v>1</v>
      </c>
      <c r="D152" s="2">
        <v>0</v>
      </c>
      <c r="E152" s="47"/>
    </row>
    <row r="153" spans="1:5" x14ac:dyDescent="0.25">
      <c r="A153" s="2">
        <v>152</v>
      </c>
      <c r="B153" s="3">
        <v>3.31</v>
      </c>
      <c r="C153" s="2">
        <v>0</v>
      </c>
      <c r="D153" s="2">
        <v>0</v>
      </c>
      <c r="E153" s="47"/>
    </row>
    <row r="154" spans="1:5" x14ac:dyDescent="0.25">
      <c r="A154" s="2">
        <v>153</v>
      </c>
      <c r="B154" s="3">
        <v>3.04</v>
      </c>
      <c r="C154" s="2">
        <v>0</v>
      </c>
      <c r="D154" s="2">
        <v>0</v>
      </c>
      <c r="E154" s="47"/>
    </row>
    <row r="155" spans="1:5" x14ac:dyDescent="0.25">
      <c r="A155" s="2">
        <v>154</v>
      </c>
      <c r="B155" s="3">
        <v>3.23</v>
      </c>
      <c r="C155" s="2">
        <v>0</v>
      </c>
      <c r="D155" s="2">
        <v>1</v>
      </c>
      <c r="E155" s="47"/>
    </row>
    <row r="156" spans="1:5" x14ac:dyDescent="0.25">
      <c r="A156" s="2">
        <v>155</v>
      </c>
      <c r="B156" s="3">
        <v>2.74</v>
      </c>
      <c r="C156" s="2">
        <v>0</v>
      </c>
      <c r="D156" s="2">
        <v>1</v>
      </c>
      <c r="E156" s="47"/>
    </row>
    <row r="157" spans="1:5" x14ac:dyDescent="0.25">
      <c r="A157" s="2">
        <v>156</v>
      </c>
      <c r="B157" s="3">
        <v>2.78</v>
      </c>
      <c r="C157" s="2">
        <v>0</v>
      </c>
      <c r="D157" s="2">
        <v>0</v>
      </c>
      <c r="E157" s="47"/>
    </row>
    <row r="158" spans="1:5" x14ac:dyDescent="0.25">
      <c r="A158" s="2">
        <v>157</v>
      </c>
      <c r="B158" s="3">
        <v>2.74</v>
      </c>
      <c r="C158" s="2">
        <v>0</v>
      </c>
      <c r="D158" s="2">
        <v>0</v>
      </c>
      <c r="E158" s="47"/>
    </row>
    <row r="159" spans="1:5" x14ac:dyDescent="0.25">
      <c r="A159" s="2">
        <v>158</v>
      </c>
      <c r="B159" s="3">
        <v>3.39</v>
      </c>
      <c r="C159" s="2">
        <v>0</v>
      </c>
      <c r="D159" s="2">
        <v>0</v>
      </c>
      <c r="E159" s="47"/>
    </row>
    <row r="160" spans="1:5" x14ac:dyDescent="0.25">
      <c r="A160" s="2">
        <v>159</v>
      </c>
      <c r="B160" s="3">
        <v>2.02</v>
      </c>
      <c r="C160" s="2">
        <v>0</v>
      </c>
      <c r="D160" s="2">
        <v>0</v>
      </c>
      <c r="E160" s="47"/>
    </row>
    <row r="161" spans="1:5" x14ac:dyDescent="0.25">
      <c r="A161" s="2">
        <v>160</v>
      </c>
      <c r="B161" s="3">
        <v>3.1</v>
      </c>
      <c r="C161" s="2">
        <v>0</v>
      </c>
      <c r="D161" s="2">
        <v>0</v>
      </c>
      <c r="E161" s="47"/>
    </row>
    <row r="162" spans="1:5" x14ac:dyDescent="0.25">
      <c r="A162" s="2">
        <v>161</v>
      </c>
      <c r="B162" s="3">
        <v>2.56</v>
      </c>
      <c r="C162" s="2">
        <v>0</v>
      </c>
      <c r="D162" s="2">
        <v>0</v>
      </c>
      <c r="E162" s="47"/>
    </row>
    <row r="163" spans="1:5" x14ac:dyDescent="0.25">
      <c r="A163" s="2">
        <v>162</v>
      </c>
      <c r="B163" s="3">
        <v>3.3</v>
      </c>
      <c r="C163" s="2">
        <v>0</v>
      </c>
      <c r="D163" s="2">
        <v>0</v>
      </c>
      <c r="E163" s="47"/>
    </row>
    <row r="164" spans="1:5" x14ac:dyDescent="0.25">
      <c r="A164" s="2">
        <v>163</v>
      </c>
      <c r="B164" s="3">
        <v>3.84</v>
      </c>
      <c r="C164" s="2">
        <v>0</v>
      </c>
      <c r="D164" s="2">
        <v>0</v>
      </c>
      <c r="E164" s="47"/>
    </row>
    <row r="165" spans="1:5" x14ac:dyDescent="0.25">
      <c r="A165" s="2">
        <v>164</v>
      </c>
      <c r="B165" s="3">
        <v>3.48</v>
      </c>
      <c r="C165" s="2">
        <v>0</v>
      </c>
      <c r="D165" s="2">
        <v>0</v>
      </c>
      <c r="E165" s="47"/>
    </row>
    <row r="166" spans="1:5" x14ac:dyDescent="0.25">
      <c r="A166" s="2">
        <v>165</v>
      </c>
      <c r="B166" s="3">
        <v>3.16</v>
      </c>
      <c r="C166" s="2">
        <v>0</v>
      </c>
      <c r="D166" s="2">
        <v>0</v>
      </c>
      <c r="E166" s="47"/>
    </row>
    <row r="167" spans="1:5" x14ac:dyDescent="0.25">
      <c r="A167" s="2">
        <v>166</v>
      </c>
      <c r="B167" s="3">
        <v>2.6399999999999997</v>
      </c>
      <c r="C167" s="2">
        <v>0</v>
      </c>
      <c r="D167" s="2">
        <v>1</v>
      </c>
      <c r="E167" s="47"/>
    </row>
    <row r="168" spans="1:5" x14ac:dyDescent="0.25">
      <c r="A168" s="2">
        <v>167</v>
      </c>
      <c r="B168" s="3">
        <v>2.63</v>
      </c>
      <c r="C168" s="2">
        <v>0</v>
      </c>
      <c r="D168" s="2">
        <v>0</v>
      </c>
      <c r="E168" s="47"/>
    </row>
    <row r="169" spans="1:5" x14ac:dyDescent="0.25">
      <c r="A169" s="2">
        <v>168</v>
      </c>
      <c r="B169" s="3">
        <v>3.69</v>
      </c>
      <c r="C169" s="2">
        <v>1</v>
      </c>
      <c r="D169" s="2">
        <v>0</v>
      </c>
      <c r="E169" s="47"/>
    </row>
    <row r="170" spans="1:5" x14ac:dyDescent="0.25">
      <c r="A170" s="2">
        <v>169</v>
      </c>
      <c r="B170" s="3">
        <v>2.11</v>
      </c>
      <c r="C170" s="2">
        <v>0</v>
      </c>
      <c r="D170" s="2">
        <v>0</v>
      </c>
      <c r="E170" s="47"/>
    </row>
    <row r="171" spans="1:5" x14ac:dyDescent="0.25">
      <c r="A171" s="2">
        <v>170</v>
      </c>
      <c r="B171" s="3">
        <v>2.4900000000000002</v>
      </c>
      <c r="C171" s="2">
        <v>0</v>
      </c>
      <c r="D171" s="2">
        <v>0</v>
      </c>
      <c r="E171" s="47"/>
    </row>
    <row r="172" spans="1:5" x14ac:dyDescent="0.25">
      <c r="A172" s="2">
        <v>171</v>
      </c>
      <c r="B172" s="3">
        <v>3.03</v>
      </c>
      <c r="C172" s="2">
        <v>0</v>
      </c>
      <c r="D172" s="2">
        <v>0</v>
      </c>
      <c r="E172" s="47"/>
    </row>
    <row r="173" spans="1:5" x14ac:dyDescent="0.25">
      <c r="A173" s="2">
        <v>172</v>
      </c>
      <c r="B173" s="3">
        <v>2.72</v>
      </c>
      <c r="C173" s="2">
        <v>1</v>
      </c>
      <c r="D173" s="2">
        <v>0</v>
      </c>
      <c r="E173" s="47"/>
    </row>
    <row r="174" spans="1:5" x14ac:dyDescent="0.25">
      <c r="A174" s="2">
        <v>173</v>
      </c>
      <c r="B174" s="3">
        <v>3.01</v>
      </c>
      <c r="C174" s="2">
        <v>0</v>
      </c>
      <c r="D174" s="2">
        <v>0</v>
      </c>
      <c r="E174" s="47"/>
    </row>
    <row r="175" spans="1:5" x14ac:dyDescent="0.25">
      <c r="A175" s="2">
        <v>174</v>
      </c>
      <c r="B175" s="3">
        <v>2.33</v>
      </c>
      <c r="C175" s="2">
        <v>0</v>
      </c>
      <c r="D175" s="2">
        <v>0</v>
      </c>
      <c r="E175" s="47"/>
    </row>
    <row r="176" spans="1:5" x14ac:dyDescent="0.25">
      <c r="A176" s="2">
        <v>175</v>
      </c>
      <c r="B176" s="3">
        <v>3.16</v>
      </c>
      <c r="C176" s="2">
        <v>0</v>
      </c>
      <c r="D176" s="2">
        <v>0</v>
      </c>
      <c r="E176" s="47"/>
    </row>
    <row r="177" spans="1:5" x14ac:dyDescent="0.25">
      <c r="A177" s="2">
        <v>176</v>
      </c>
      <c r="B177" s="3">
        <v>2.54</v>
      </c>
      <c r="C177" s="2">
        <v>0</v>
      </c>
      <c r="D177" s="2">
        <v>0</v>
      </c>
      <c r="E177" s="47"/>
    </row>
    <row r="178" spans="1:5" x14ac:dyDescent="0.25">
      <c r="A178" s="2">
        <v>177</v>
      </c>
      <c r="B178" s="3">
        <v>2.77</v>
      </c>
      <c r="C178" s="2">
        <v>0</v>
      </c>
      <c r="D178" s="2">
        <v>1</v>
      </c>
      <c r="E178" s="47"/>
    </row>
    <row r="179" spans="1:5" x14ac:dyDescent="0.25">
      <c r="A179" s="2">
        <v>178</v>
      </c>
      <c r="B179" s="3">
        <v>2.5299999999999998</v>
      </c>
      <c r="C179" s="2">
        <v>0</v>
      </c>
      <c r="D179" s="2">
        <v>0</v>
      </c>
      <c r="E179" s="47"/>
    </row>
    <row r="180" spans="1:5" x14ac:dyDescent="0.25">
      <c r="A180" s="2">
        <v>179</v>
      </c>
      <c r="B180" s="3">
        <v>2.0099999999999998</v>
      </c>
      <c r="C180" s="2">
        <v>0</v>
      </c>
      <c r="D180" s="2">
        <v>0</v>
      </c>
      <c r="E180" s="47"/>
    </row>
    <row r="181" spans="1:5" x14ac:dyDescent="0.25">
      <c r="A181" s="2">
        <v>180</v>
      </c>
      <c r="B181" s="3">
        <v>2.85</v>
      </c>
      <c r="C181" s="2">
        <v>0</v>
      </c>
      <c r="D181" s="2">
        <v>0</v>
      </c>
      <c r="E181" s="47"/>
    </row>
    <row r="182" spans="1:5" x14ac:dyDescent="0.25">
      <c r="A182" s="2">
        <v>181</v>
      </c>
      <c r="B182" s="3">
        <v>2.94</v>
      </c>
      <c r="C182" s="2">
        <v>0</v>
      </c>
      <c r="D182" s="2">
        <v>1</v>
      </c>
      <c r="E182" s="47"/>
    </row>
    <row r="183" spans="1:5" x14ac:dyDescent="0.25">
      <c r="A183" s="2">
        <v>182</v>
      </c>
      <c r="B183" s="3">
        <v>3.81</v>
      </c>
      <c r="C183" s="2">
        <v>1</v>
      </c>
      <c r="D183" s="2">
        <v>0</v>
      </c>
      <c r="E183" s="47"/>
    </row>
    <row r="184" spans="1:5" x14ac:dyDescent="0.25">
      <c r="A184" s="2">
        <v>183</v>
      </c>
      <c r="B184" s="3">
        <v>3.71</v>
      </c>
      <c r="C184" s="2">
        <v>1</v>
      </c>
      <c r="D184" s="2">
        <v>0</v>
      </c>
      <c r="E184" s="47"/>
    </row>
    <row r="185" spans="1:5" x14ac:dyDescent="0.25">
      <c r="A185" s="2">
        <v>184</v>
      </c>
      <c r="B185" s="3">
        <v>2.46</v>
      </c>
      <c r="C185" s="2">
        <v>0</v>
      </c>
      <c r="D185" s="2">
        <v>0</v>
      </c>
      <c r="E185" s="47"/>
    </row>
    <row r="186" spans="1:5" x14ac:dyDescent="0.25">
      <c r="A186" s="2">
        <v>185</v>
      </c>
      <c r="B186" s="3">
        <v>2.68</v>
      </c>
      <c r="C186" s="2">
        <v>0</v>
      </c>
      <c r="D186" s="2">
        <v>0</v>
      </c>
      <c r="E186" s="47"/>
    </row>
    <row r="187" spans="1:5" x14ac:dyDescent="0.25">
      <c r="A187" s="2">
        <v>186</v>
      </c>
      <c r="B187" s="3">
        <v>2.58</v>
      </c>
      <c r="C187" s="2">
        <v>0</v>
      </c>
      <c r="D187" s="2">
        <v>0</v>
      </c>
      <c r="E187" s="47"/>
    </row>
    <row r="188" spans="1:5" x14ac:dyDescent="0.25">
      <c r="A188" s="2">
        <v>187</v>
      </c>
      <c r="B188" s="3">
        <v>2.7</v>
      </c>
      <c r="C188" s="2">
        <v>1</v>
      </c>
      <c r="D188" s="2">
        <v>0</v>
      </c>
      <c r="E188" s="47"/>
    </row>
    <row r="189" spans="1:5" x14ac:dyDescent="0.25">
      <c r="A189" s="2">
        <v>188</v>
      </c>
      <c r="B189" s="3">
        <v>2.75</v>
      </c>
      <c r="C189" s="2">
        <v>0</v>
      </c>
      <c r="D189" s="2">
        <v>1</v>
      </c>
      <c r="E189" s="47"/>
    </row>
    <row r="190" spans="1:5" x14ac:dyDescent="0.25">
      <c r="A190" s="2">
        <v>189</v>
      </c>
      <c r="B190" s="3">
        <v>2.5299999999999998</v>
      </c>
      <c r="C190" s="2">
        <v>0</v>
      </c>
      <c r="D190" s="2">
        <v>0</v>
      </c>
      <c r="E190" s="47"/>
    </row>
    <row r="191" spans="1:5" x14ac:dyDescent="0.25">
      <c r="A191" s="2">
        <v>190</v>
      </c>
      <c r="B191" s="3">
        <v>3.08</v>
      </c>
      <c r="C191" s="2">
        <v>0</v>
      </c>
      <c r="D191" s="2">
        <v>1</v>
      </c>
      <c r="E191" s="47"/>
    </row>
    <row r="192" spans="1:5" x14ac:dyDescent="0.25">
      <c r="A192" s="2">
        <v>191</v>
      </c>
      <c r="B192" s="3">
        <v>3.13</v>
      </c>
      <c r="C192" s="2">
        <v>0</v>
      </c>
      <c r="D192" s="2">
        <v>0</v>
      </c>
      <c r="E192" s="47"/>
    </row>
    <row r="193" spans="1:5" x14ac:dyDescent="0.25">
      <c r="A193" s="2">
        <v>192</v>
      </c>
      <c r="B193" s="3">
        <v>2.78</v>
      </c>
      <c r="C193" s="2">
        <v>0</v>
      </c>
      <c r="D193" s="2">
        <v>0</v>
      </c>
      <c r="E193" s="47"/>
    </row>
    <row r="194" spans="1:5" x14ac:dyDescent="0.25">
      <c r="A194" s="2">
        <v>193</v>
      </c>
      <c r="B194" s="3">
        <v>3.23</v>
      </c>
      <c r="C194" s="2">
        <v>0</v>
      </c>
      <c r="D194" s="2">
        <v>0</v>
      </c>
      <c r="E194" s="47"/>
    </row>
    <row r="195" spans="1:5" x14ac:dyDescent="0.25">
      <c r="A195" s="2">
        <v>194</v>
      </c>
      <c r="B195" s="3">
        <v>2.94</v>
      </c>
      <c r="C195" s="2">
        <v>0</v>
      </c>
      <c r="D195" s="2">
        <v>0</v>
      </c>
      <c r="E195" s="47"/>
    </row>
    <row r="196" spans="1:5" x14ac:dyDescent="0.25">
      <c r="A196" s="2">
        <v>195</v>
      </c>
      <c r="B196" s="3">
        <v>3.25</v>
      </c>
      <c r="C196" s="2">
        <v>0</v>
      </c>
      <c r="D196" s="2">
        <v>0</v>
      </c>
      <c r="E196" s="47"/>
    </row>
    <row r="197" spans="1:5" x14ac:dyDescent="0.25">
      <c r="A197" s="2">
        <v>196</v>
      </c>
      <c r="B197" s="3">
        <v>3.17</v>
      </c>
      <c r="C197" s="2">
        <v>0</v>
      </c>
      <c r="D197" s="2">
        <v>0</v>
      </c>
      <c r="E197" s="47"/>
    </row>
    <row r="198" spans="1:5" x14ac:dyDescent="0.25">
      <c r="A198" s="2">
        <v>197</v>
      </c>
      <c r="B198" s="3">
        <v>2.58</v>
      </c>
      <c r="C198" s="2">
        <v>0</v>
      </c>
      <c r="D198" s="2">
        <v>1</v>
      </c>
      <c r="E198" s="47"/>
    </row>
    <row r="199" spans="1:5" x14ac:dyDescent="0.25">
      <c r="A199" s="2">
        <v>198</v>
      </c>
      <c r="B199" s="3">
        <v>2.52</v>
      </c>
      <c r="C199" s="2">
        <v>0</v>
      </c>
      <c r="D199" s="2">
        <v>0</v>
      </c>
      <c r="E199" s="47"/>
    </row>
    <row r="200" spans="1:5" x14ac:dyDescent="0.25">
      <c r="A200" s="2">
        <v>199</v>
      </c>
      <c r="B200" s="3">
        <v>3.04</v>
      </c>
      <c r="C200" s="2">
        <v>0</v>
      </c>
      <c r="D200" s="2">
        <v>0</v>
      </c>
      <c r="E200" s="47"/>
    </row>
    <row r="201" spans="1:5" x14ac:dyDescent="0.25">
      <c r="A201" s="2">
        <v>200</v>
      </c>
      <c r="B201" s="3">
        <v>2.4</v>
      </c>
      <c r="C201" s="2">
        <v>0</v>
      </c>
      <c r="D201" s="2">
        <v>0</v>
      </c>
      <c r="E201" s="47"/>
    </row>
    <row r="202" spans="1:5" x14ac:dyDescent="0.25">
      <c r="A202" s="2">
        <v>201</v>
      </c>
      <c r="B202" s="3">
        <v>3.27</v>
      </c>
      <c r="C202" s="2">
        <v>1</v>
      </c>
      <c r="D202" s="2">
        <v>0</v>
      </c>
      <c r="E202" s="47"/>
    </row>
    <row r="203" spans="1:5" x14ac:dyDescent="0.25">
      <c r="A203" s="2">
        <v>202</v>
      </c>
      <c r="B203" s="3">
        <v>2.5700000000000003</v>
      </c>
      <c r="C203" s="2">
        <v>0</v>
      </c>
      <c r="D203" s="2">
        <v>1</v>
      </c>
      <c r="E203" s="47"/>
    </row>
    <row r="204" spans="1:5" x14ac:dyDescent="0.25">
      <c r="A204" s="2">
        <v>203</v>
      </c>
      <c r="B204" s="3">
        <v>3.17</v>
      </c>
      <c r="C204" s="2">
        <v>0</v>
      </c>
      <c r="D204" s="2">
        <v>0</v>
      </c>
      <c r="E204" s="47"/>
    </row>
    <row r="205" spans="1:5" x14ac:dyDescent="0.25">
      <c r="A205" s="2">
        <v>204</v>
      </c>
      <c r="B205" s="3">
        <v>2.16</v>
      </c>
      <c r="C205" s="2">
        <v>0</v>
      </c>
      <c r="D205" s="2">
        <v>0</v>
      </c>
      <c r="E205" s="47"/>
    </row>
    <row r="206" spans="1:5" x14ac:dyDescent="0.25">
      <c r="A206" s="2">
        <v>205</v>
      </c>
      <c r="B206" s="3">
        <v>3.64</v>
      </c>
      <c r="C206" s="2">
        <v>1</v>
      </c>
      <c r="D206" s="2">
        <v>0</v>
      </c>
      <c r="E206" s="47"/>
    </row>
    <row r="207" spans="1:5" x14ac:dyDescent="0.25">
      <c r="A207" s="2">
        <v>206</v>
      </c>
      <c r="B207" s="3">
        <v>2.4</v>
      </c>
      <c r="C207" s="2">
        <v>0</v>
      </c>
      <c r="D207" s="2">
        <v>0</v>
      </c>
      <c r="E207" s="47"/>
    </row>
    <row r="208" spans="1:5" x14ac:dyDescent="0.25">
      <c r="A208" s="2">
        <v>207</v>
      </c>
      <c r="B208" s="3">
        <v>2.61</v>
      </c>
      <c r="C208" s="2">
        <v>1</v>
      </c>
      <c r="D208" s="2">
        <v>1</v>
      </c>
      <c r="E208" s="47"/>
    </row>
    <row r="209" spans="1:5" x14ac:dyDescent="0.25">
      <c r="A209" s="2">
        <v>208</v>
      </c>
      <c r="B209" s="3">
        <v>3.91</v>
      </c>
      <c r="C209" s="2">
        <v>1</v>
      </c>
      <c r="D209" s="2">
        <v>0</v>
      </c>
      <c r="E209" s="47"/>
    </row>
    <row r="210" spans="1:5" x14ac:dyDescent="0.25">
      <c r="A210" s="2">
        <v>209</v>
      </c>
      <c r="B210" s="3">
        <v>3.03</v>
      </c>
      <c r="C210" s="2">
        <v>0</v>
      </c>
      <c r="D210" s="2">
        <v>0</v>
      </c>
      <c r="E210" s="47"/>
    </row>
    <row r="211" spans="1:5" x14ac:dyDescent="0.25">
      <c r="A211" s="2">
        <v>210</v>
      </c>
      <c r="B211" s="3">
        <v>2.77</v>
      </c>
      <c r="C211" s="2">
        <v>0</v>
      </c>
      <c r="D211" s="2">
        <v>1</v>
      </c>
      <c r="E211" s="47"/>
    </row>
    <row r="212" spans="1:5" x14ac:dyDescent="0.25">
      <c r="A212" s="2">
        <v>211</v>
      </c>
      <c r="B212" s="3">
        <v>2.8499999999999996</v>
      </c>
      <c r="C212" s="2">
        <v>0</v>
      </c>
      <c r="D212" s="2">
        <v>1</v>
      </c>
      <c r="E212" s="47"/>
    </row>
    <row r="213" spans="1:5" x14ac:dyDescent="0.25">
      <c r="A213" s="2">
        <v>212</v>
      </c>
      <c r="B213" s="3">
        <v>2.91</v>
      </c>
      <c r="C213" s="2">
        <v>0</v>
      </c>
      <c r="D213" s="2">
        <v>1</v>
      </c>
      <c r="E213" s="47"/>
    </row>
    <row r="214" spans="1:5" x14ac:dyDescent="0.25">
      <c r="A214" s="2">
        <v>213</v>
      </c>
      <c r="B214" s="3">
        <v>2.46</v>
      </c>
      <c r="C214" s="2">
        <v>0</v>
      </c>
      <c r="D214" s="2">
        <v>0</v>
      </c>
      <c r="E214" s="47"/>
    </row>
    <row r="215" spans="1:5" x14ac:dyDescent="0.25">
      <c r="A215" s="2">
        <v>214</v>
      </c>
      <c r="B215" s="3">
        <v>3.14</v>
      </c>
      <c r="C215" s="2">
        <v>1</v>
      </c>
      <c r="D215" s="2">
        <v>0</v>
      </c>
      <c r="E215" s="47"/>
    </row>
    <row r="216" spans="1:5" x14ac:dyDescent="0.25">
      <c r="A216" s="2">
        <v>215</v>
      </c>
      <c r="B216" s="3">
        <v>2.93</v>
      </c>
      <c r="C216" s="2">
        <v>0</v>
      </c>
      <c r="D216" s="2">
        <v>0</v>
      </c>
      <c r="E216" s="47"/>
    </row>
    <row r="217" spans="1:5" x14ac:dyDescent="0.25">
      <c r="A217" s="2">
        <v>216</v>
      </c>
      <c r="B217" s="3">
        <v>2.68</v>
      </c>
      <c r="C217" s="2">
        <v>0</v>
      </c>
      <c r="D217" s="2">
        <v>0</v>
      </c>
      <c r="E217" s="47"/>
    </row>
    <row r="218" spans="1:5" x14ac:dyDescent="0.25">
      <c r="A218" s="2">
        <v>217</v>
      </c>
      <c r="B218" s="3">
        <v>3.17</v>
      </c>
      <c r="C218" s="2">
        <v>0</v>
      </c>
      <c r="D218" s="2">
        <v>0</v>
      </c>
      <c r="E218" s="47"/>
    </row>
    <row r="219" spans="1:5" x14ac:dyDescent="0.25">
      <c r="A219" s="2">
        <v>218</v>
      </c>
      <c r="B219" s="3">
        <v>2.46</v>
      </c>
      <c r="C219" s="2">
        <v>0</v>
      </c>
      <c r="D219" s="2">
        <v>0</v>
      </c>
      <c r="E219" s="47"/>
    </row>
    <row r="220" spans="1:5" x14ac:dyDescent="0.25">
      <c r="A220" s="2">
        <v>219</v>
      </c>
      <c r="B220" s="3">
        <v>3.45</v>
      </c>
      <c r="C220" s="2">
        <v>0</v>
      </c>
      <c r="D220" s="2">
        <v>0</v>
      </c>
      <c r="E220" s="47"/>
    </row>
    <row r="221" spans="1:5" x14ac:dyDescent="0.25">
      <c r="A221" s="2">
        <v>220</v>
      </c>
      <c r="B221" s="3">
        <v>2.64</v>
      </c>
      <c r="C221" s="2">
        <v>1</v>
      </c>
      <c r="D221" s="2">
        <v>0</v>
      </c>
      <c r="E221" s="47"/>
    </row>
    <row r="222" spans="1:5" x14ac:dyDescent="0.25">
      <c r="A222" s="2">
        <v>221</v>
      </c>
      <c r="B222" s="3">
        <v>3.21</v>
      </c>
      <c r="C222" s="2">
        <v>0</v>
      </c>
      <c r="D222" s="2">
        <v>0</v>
      </c>
      <c r="E222" s="47"/>
    </row>
    <row r="223" spans="1:5" x14ac:dyDescent="0.25">
      <c r="A223" s="2">
        <v>222</v>
      </c>
      <c r="B223" s="3">
        <v>2.5300000000000002</v>
      </c>
      <c r="C223" s="2">
        <v>1</v>
      </c>
      <c r="D223" s="2">
        <v>1</v>
      </c>
      <c r="E223" s="47"/>
    </row>
    <row r="224" spans="1:5" x14ac:dyDescent="0.25">
      <c r="A224" s="2">
        <v>223</v>
      </c>
      <c r="B224" s="3">
        <v>2.99</v>
      </c>
      <c r="C224" s="2">
        <v>0</v>
      </c>
      <c r="D224" s="2">
        <v>1</v>
      </c>
      <c r="E224" s="47"/>
    </row>
    <row r="225" spans="1:5" x14ac:dyDescent="0.25">
      <c r="A225" s="2">
        <v>224</v>
      </c>
      <c r="B225" s="3">
        <v>3.21</v>
      </c>
      <c r="C225" s="2">
        <v>1</v>
      </c>
      <c r="D225" s="2">
        <v>0</v>
      </c>
      <c r="E225" s="47"/>
    </row>
    <row r="226" spans="1:5" x14ac:dyDescent="0.25">
      <c r="A226" s="2">
        <v>225</v>
      </c>
      <c r="B226" s="3">
        <v>3.2</v>
      </c>
      <c r="C226" s="2">
        <v>0</v>
      </c>
      <c r="D226" s="2">
        <v>0</v>
      </c>
      <c r="E226" s="47"/>
    </row>
    <row r="227" spans="1:5" x14ac:dyDescent="0.25">
      <c r="A227" s="2">
        <v>226</v>
      </c>
      <c r="B227" s="3">
        <v>3.25</v>
      </c>
      <c r="C227" s="2">
        <v>0</v>
      </c>
      <c r="D227" s="2">
        <v>0</v>
      </c>
      <c r="E227" s="47"/>
    </row>
    <row r="228" spans="1:5" x14ac:dyDescent="0.25">
      <c r="A228" s="2">
        <v>227</v>
      </c>
      <c r="B228" s="3">
        <v>2.57</v>
      </c>
      <c r="C228" s="2">
        <v>0</v>
      </c>
      <c r="D228" s="2">
        <v>0</v>
      </c>
      <c r="E228" s="47"/>
    </row>
    <row r="229" spans="1:5" x14ac:dyDescent="0.25">
      <c r="A229" s="2">
        <v>228</v>
      </c>
      <c r="B229" s="3">
        <v>2.35</v>
      </c>
      <c r="C229" s="2">
        <v>0</v>
      </c>
      <c r="D229" s="2">
        <v>0</v>
      </c>
      <c r="E229" s="47"/>
    </row>
    <row r="230" spans="1:5" x14ac:dyDescent="0.25">
      <c r="A230" s="2">
        <v>229</v>
      </c>
      <c r="B230" s="3">
        <v>2.85</v>
      </c>
      <c r="C230" s="2">
        <v>0</v>
      </c>
      <c r="D230" s="2">
        <v>0</v>
      </c>
      <c r="E230" s="47"/>
    </row>
    <row r="231" spans="1:5" x14ac:dyDescent="0.25">
      <c r="A231" s="2">
        <v>230</v>
      </c>
      <c r="B231" s="3">
        <v>3.02</v>
      </c>
      <c r="C231" s="2">
        <v>0</v>
      </c>
      <c r="D231" s="2">
        <v>0</v>
      </c>
      <c r="E231" s="47"/>
    </row>
    <row r="232" spans="1:5" x14ac:dyDescent="0.25">
      <c r="A232" s="2">
        <v>231</v>
      </c>
      <c r="B232" s="3">
        <v>2.08</v>
      </c>
      <c r="C232" s="2">
        <v>0</v>
      </c>
      <c r="D232" s="2">
        <v>0</v>
      </c>
      <c r="E232" s="47"/>
    </row>
    <row r="233" spans="1:5" x14ac:dyDescent="0.25">
      <c r="A233" s="2">
        <v>232</v>
      </c>
      <c r="B233" s="3">
        <v>2.9</v>
      </c>
      <c r="C233" s="2">
        <v>1</v>
      </c>
      <c r="D233" s="2">
        <v>1</v>
      </c>
      <c r="E233" s="47"/>
    </row>
    <row r="234" spans="1:5" x14ac:dyDescent="0.25">
      <c r="A234" s="2">
        <v>233</v>
      </c>
      <c r="B234" s="3">
        <v>2.3199999999999998</v>
      </c>
      <c r="C234" s="2">
        <v>0</v>
      </c>
      <c r="D234" s="2">
        <v>0</v>
      </c>
      <c r="E234" s="47"/>
    </row>
    <row r="235" spans="1:5" x14ac:dyDescent="0.25">
      <c r="A235" s="2">
        <v>234</v>
      </c>
      <c r="B235" s="3">
        <v>2.31</v>
      </c>
      <c r="C235" s="2">
        <v>0</v>
      </c>
      <c r="D235" s="2">
        <v>0</v>
      </c>
      <c r="E235" s="47"/>
    </row>
    <row r="236" spans="1:5" x14ac:dyDescent="0.25">
      <c r="A236" s="2">
        <v>235</v>
      </c>
      <c r="B236" s="3">
        <v>2.67</v>
      </c>
      <c r="C236" s="2">
        <v>1</v>
      </c>
      <c r="D236" s="2">
        <v>1</v>
      </c>
      <c r="E236" s="47"/>
    </row>
    <row r="237" spans="1:5" x14ac:dyDescent="0.25">
      <c r="A237" s="2">
        <v>236</v>
      </c>
      <c r="B237" s="3">
        <v>2.59</v>
      </c>
      <c r="C237" s="2">
        <v>0</v>
      </c>
      <c r="D237" s="2">
        <v>0</v>
      </c>
      <c r="E237" s="47"/>
    </row>
    <row r="238" spans="1:5" x14ac:dyDescent="0.25">
      <c r="A238" s="2">
        <v>237</v>
      </c>
      <c r="B238" s="3">
        <v>3.64</v>
      </c>
      <c r="C238" s="2">
        <v>1</v>
      </c>
      <c r="D238" s="2">
        <v>0</v>
      </c>
      <c r="E238" s="47"/>
    </row>
    <row r="239" spans="1:5" x14ac:dyDescent="0.25">
      <c r="A239" s="2">
        <v>238</v>
      </c>
      <c r="B239" s="3">
        <v>2.59</v>
      </c>
      <c r="C239" s="2">
        <v>1</v>
      </c>
      <c r="D239" s="2">
        <v>0</v>
      </c>
      <c r="E239" s="47"/>
    </row>
    <row r="240" spans="1:5" x14ac:dyDescent="0.25">
      <c r="A240" s="2">
        <v>239</v>
      </c>
      <c r="B240" s="3">
        <v>2.7</v>
      </c>
      <c r="C240" s="2">
        <v>0</v>
      </c>
      <c r="D240" s="2">
        <v>1</v>
      </c>
      <c r="E240" s="47"/>
    </row>
    <row r="241" spans="1:5" x14ac:dyDescent="0.25">
      <c r="A241" s="2">
        <v>240</v>
      </c>
      <c r="B241" s="3">
        <v>2.2400000000000002</v>
      </c>
      <c r="C241" s="2">
        <v>0</v>
      </c>
      <c r="D241" s="2">
        <v>0</v>
      </c>
      <c r="E241" s="47"/>
    </row>
    <row r="242" spans="1:5" x14ac:dyDescent="0.25">
      <c r="A242" s="2">
        <v>241</v>
      </c>
      <c r="B242" s="3">
        <v>3.08</v>
      </c>
      <c r="C242" s="2">
        <v>0</v>
      </c>
      <c r="D242" s="2">
        <v>0</v>
      </c>
      <c r="E242" s="47"/>
    </row>
    <row r="243" spans="1:5" x14ac:dyDescent="0.25">
      <c r="A243" s="2">
        <v>242</v>
      </c>
      <c r="B243" s="3">
        <v>3.12</v>
      </c>
      <c r="C243" s="2">
        <v>0</v>
      </c>
      <c r="D243" s="2">
        <v>0</v>
      </c>
      <c r="E243" s="47"/>
    </row>
    <row r="244" spans="1:5" x14ac:dyDescent="0.25">
      <c r="A244" s="2">
        <v>243</v>
      </c>
      <c r="B244" s="3">
        <v>2.5499999999999998</v>
      </c>
      <c r="C244" s="2">
        <v>0</v>
      </c>
      <c r="D244" s="2">
        <v>0</v>
      </c>
      <c r="E244" s="47"/>
    </row>
    <row r="245" spans="1:5" x14ac:dyDescent="0.25">
      <c r="A245" s="2">
        <v>244</v>
      </c>
      <c r="B245" s="3">
        <v>2.59</v>
      </c>
      <c r="C245" s="2">
        <v>1</v>
      </c>
      <c r="D245" s="2">
        <v>0</v>
      </c>
      <c r="E245" s="47"/>
    </row>
    <row r="246" spans="1:5" x14ac:dyDescent="0.25">
      <c r="A246" s="2">
        <v>245</v>
      </c>
      <c r="B246" s="3">
        <v>2.66</v>
      </c>
      <c r="C246" s="2">
        <v>0</v>
      </c>
      <c r="D246" s="2">
        <v>1</v>
      </c>
      <c r="E246" s="47"/>
    </row>
    <row r="247" spans="1:5" x14ac:dyDescent="0.25">
      <c r="A247" s="2">
        <v>246</v>
      </c>
      <c r="B247" s="3">
        <v>2.86</v>
      </c>
      <c r="C247" s="2">
        <v>0</v>
      </c>
      <c r="D247" s="2">
        <v>0</v>
      </c>
      <c r="E247" s="47"/>
    </row>
    <row r="248" spans="1:5" x14ac:dyDescent="0.25">
      <c r="A248" s="2">
        <v>247</v>
      </c>
      <c r="B248" s="3">
        <v>2.75</v>
      </c>
      <c r="C248" s="2">
        <v>0</v>
      </c>
      <c r="D248" s="2">
        <v>0</v>
      </c>
      <c r="E248" s="47"/>
    </row>
    <row r="249" spans="1:5" x14ac:dyDescent="0.25">
      <c r="A249" s="2">
        <v>248</v>
      </c>
      <c r="B249" s="3">
        <v>2.0499999999999998</v>
      </c>
      <c r="C249" s="2">
        <v>0</v>
      </c>
      <c r="D249" s="2">
        <v>0</v>
      </c>
      <c r="E249" s="47"/>
    </row>
    <row r="250" spans="1:5" x14ac:dyDescent="0.25">
      <c r="A250" s="2">
        <v>249</v>
      </c>
      <c r="B250" s="3">
        <v>2.7</v>
      </c>
      <c r="C250" s="2">
        <v>0</v>
      </c>
      <c r="D250" s="2">
        <v>0</v>
      </c>
      <c r="E250" s="47"/>
    </row>
    <row r="251" spans="1:5" x14ac:dyDescent="0.25">
      <c r="A251" s="2">
        <v>250</v>
      </c>
      <c r="B251" s="3">
        <v>3.78</v>
      </c>
      <c r="C251" s="2">
        <v>1</v>
      </c>
      <c r="D251" s="2">
        <v>0</v>
      </c>
      <c r="E251" s="47"/>
    </row>
    <row r="252" spans="1:5" x14ac:dyDescent="0.25">
      <c r="A252" s="2">
        <v>251</v>
      </c>
      <c r="B252" s="3">
        <v>3.11</v>
      </c>
      <c r="C252" s="2">
        <v>0</v>
      </c>
      <c r="D252" s="2">
        <v>0</v>
      </c>
      <c r="E252" s="47"/>
    </row>
    <row r="253" spans="1:5" x14ac:dyDescent="0.25">
      <c r="A253" s="2">
        <v>252</v>
      </c>
      <c r="B253" s="3">
        <v>2.2599999999999998</v>
      </c>
      <c r="C253" s="2">
        <v>0</v>
      </c>
      <c r="D253" s="2">
        <v>0</v>
      </c>
      <c r="E253" s="47"/>
    </row>
    <row r="254" spans="1:5" x14ac:dyDescent="0.25">
      <c r="A254" s="2">
        <v>253</v>
      </c>
      <c r="B254" s="3">
        <v>2.4</v>
      </c>
      <c r="C254" s="2">
        <v>0</v>
      </c>
      <c r="D254" s="2">
        <v>0</v>
      </c>
      <c r="E254" s="47"/>
    </row>
    <row r="255" spans="1:5" x14ac:dyDescent="0.25">
      <c r="A255" s="2">
        <v>254</v>
      </c>
      <c r="B255" s="3">
        <v>3.4</v>
      </c>
      <c r="C255" s="2">
        <v>0</v>
      </c>
      <c r="D255" s="2">
        <v>0</v>
      </c>
      <c r="E255" s="47"/>
    </row>
    <row r="256" spans="1:5" x14ac:dyDescent="0.25">
      <c r="A256" s="2">
        <v>255</v>
      </c>
      <c r="B256" s="3">
        <v>3.62</v>
      </c>
      <c r="C256" s="2">
        <v>1</v>
      </c>
      <c r="D256" s="2">
        <v>0</v>
      </c>
      <c r="E256" s="47"/>
    </row>
    <row r="257" spans="1:5" x14ac:dyDescent="0.25">
      <c r="A257" s="2">
        <v>256</v>
      </c>
      <c r="B257" s="3">
        <v>3.46</v>
      </c>
      <c r="C257" s="2">
        <v>0</v>
      </c>
      <c r="D257" s="2">
        <v>0</v>
      </c>
      <c r="E257" s="47"/>
    </row>
    <row r="258" spans="1:5" x14ac:dyDescent="0.25">
      <c r="A258" s="2">
        <v>257</v>
      </c>
      <c r="B258" s="3">
        <v>2.2400000000000002</v>
      </c>
      <c r="C258" s="2">
        <v>0</v>
      </c>
      <c r="D258" s="2">
        <v>0</v>
      </c>
      <c r="E258" s="47"/>
    </row>
    <row r="259" spans="1:5" x14ac:dyDescent="0.25">
      <c r="A259" s="2">
        <v>258</v>
      </c>
      <c r="B259" s="3">
        <v>2.4</v>
      </c>
      <c r="C259" s="2">
        <v>0</v>
      </c>
      <c r="D259" s="2">
        <v>0</v>
      </c>
      <c r="E259" s="47"/>
    </row>
    <row r="260" spans="1:5" x14ac:dyDescent="0.25">
      <c r="A260" s="2">
        <v>259</v>
      </c>
      <c r="B260" s="3">
        <v>3.8</v>
      </c>
      <c r="C260" s="2">
        <v>1</v>
      </c>
      <c r="D260" s="2">
        <v>0</v>
      </c>
      <c r="E260" s="47"/>
    </row>
    <row r="261" spans="1:5" x14ac:dyDescent="0.25">
      <c r="A261" s="2">
        <v>260</v>
      </c>
      <c r="B261" s="3">
        <v>2.74</v>
      </c>
      <c r="C261" s="2">
        <v>0</v>
      </c>
      <c r="D261" s="2">
        <v>0</v>
      </c>
      <c r="E261" s="47"/>
    </row>
    <row r="262" spans="1:5" x14ac:dyDescent="0.25">
      <c r="A262" s="2">
        <v>261</v>
      </c>
      <c r="B262" s="3">
        <v>2.77</v>
      </c>
      <c r="C262" s="2">
        <v>0</v>
      </c>
      <c r="D262" s="2">
        <v>0</v>
      </c>
      <c r="E262" s="47"/>
    </row>
    <row r="263" spans="1:5" x14ac:dyDescent="0.25">
      <c r="A263" s="2">
        <v>262</v>
      </c>
      <c r="B263" s="3">
        <v>2.11</v>
      </c>
      <c r="C263" s="2">
        <v>0</v>
      </c>
      <c r="D263" s="2">
        <v>0</v>
      </c>
      <c r="E263" s="47"/>
    </row>
    <row r="264" spans="1:5" x14ac:dyDescent="0.25">
      <c r="A264" s="2">
        <v>263</v>
      </c>
      <c r="B264" s="3">
        <v>2.86</v>
      </c>
      <c r="C264" s="2">
        <v>0</v>
      </c>
      <c r="D264" s="2">
        <v>0</v>
      </c>
      <c r="E264" s="47"/>
    </row>
    <row r="265" spans="1:5" x14ac:dyDescent="0.25">
      <c r="A265" s="2">
        <v>264</v>
      </c>
      <c r="B265" s="3">
        <v>2.33</v>
      </c>
      <c r="C265" s="2">
        <v>0</v>
      </c>
      <c r="D265" s="2">
        <v>0</v>
      </c>
      <c r="E265" s="47"/>
    </row>
    <row r="266" spans="1:5" x14ac:dyDescent="0.25">
      <c r="A266" s="2">
        <v>265</v>
      </c>
      <c r="B266" s="3">
        <v>3.38</v>
      </c>
      <c r="C266" s="2">
        <v>0</v>
      </c>
      <c r="D266" s="2">
        <v>0</v>
      </c>
      <c r="E266" s="47"/>
    </row>
    <row r="267" spans="1:5" x14ac:dyDescent="0.25">
      <c r="A267" s="2">
        <v>266</v>
      </c>
      <c r="B267" s="3">
        <v>3.64</v>
      </c>
      <c r="C267" s="2">
        <v>1</v>
      </c>
      <c r="D267" s="2">
        <v>0</v>
      </c>
      <c r="E267" s="47"/>
    </row>
    <row r="268" spans="1:5" x14ac:dyDescent="0.25">
      <c r="A268" s="2">
        <v>267</v>
      </c>
      <c r="B268" s="3">
        <v>3.07</v>
      </c>
      <c r="C268" s="2">
        <v>1</v>
      </c>
      <c r="D268" s="2">
        <v>0</v>
      </c>
      <c r="E268" s="47"/>
    </row>
    <row r="269" spans="1:5" x14ac:dyDescent="0.25">
      <c r="A269" s="2">
        <v>268</v>
      </c>
      <c r="B269" s="3">
        <v>2.08</v>
      </c>
      <c r="C269" s="2">
        <v>0</v>
      </c>
      <c r="D269" s="2">
        <v>0</v>
      </c>
      <c r="E269" s="47"/>
    </row>
    <row r="270" spans="1:5" x14ac:dyDescent="0.25">
      <c r="A270" s="2">
        <v>269</v>
      </c>
      <c r="B270" s="3">
        <v>3.23</v>
      </c>
      <c r="C270" s="2">
        <v>0</v>
      </c>
      <c r="D270" s="2">
        <v>0</v>
      </c>
      <c r="E270" s="47"/>
    </row>
    <row r="271" spans="1:5" x14ac:dyDescent="0.25">
      <c r="A271" s="2">
        <v>270</v>
      </c>
      <c r="B271" s="3">
        <v>2.63</v>
      </c>
      <c r="C271" s="2">
        <v>0</v>
      </c>
      <c r="D271" s="2">
        <v>0</v>
      </c>
      <c r="E271" s="47"/>
    </row>
    <row r="272" spans="1:5" x14ac:dyDescent="0.25">
      <c r="A272" s="2">
        <v>271</v>
      </c>
      <c r="B272" s="3">
        <v>2.79</v>
      </c>
      <c r="C272" s="2">
        <v>1</v>
      </c>
      <c r="D272" s="2">
        <v>0</v>
      </c>
      <c r="E272" s="47"/>
    </row>
    <row r="273" spans="1:5" x14ac:dyDescent="0.25">
      <c r="A273" s="2">
        <v>272</v>
      </c>
      <c r="B273" s="3">
        <v>2.41</v>
      </c>
      <c r="C273" s="2">
        <v>0</v>
      </c>
      <c r="D273" s="2">
        <v>0</v>
      </c>
      <c r="E273" s="47"/>
    </row>
    <row r="274" spans="1:5" x14ac:dyDescent="0.25">
      <c r="A274" s="2">
        <v>273</v>
      </c>
      <c r="B274" s="3">
        <v>2.63</v>
      </c>
      <c r="C274" s="2">
        <v>0</v>
      </c>
      <c r="D274" s="2">
        <v>1</v>
      </c>
      <c r="E274" s="47"/>
    </row>
    <row r="275" spans="1:5" x14ac:dyDescent="0.25">
      <c r="A275" s="2">
        <v>274</v>
      </c>
      <c r="B275" s="3">
        <v>3.5</v>
      </c>
      <c r="C275" s="2">
        <v>0</v>
      </c>
      <c r="D275" s="2">
        <v>0</v>
      </c>
      <c r="E275" s="47"/>
    </row>
    <row r="276" spans="1:5" x14ac:dyDescent="0.25">
      <c r="A276" s="2">
        <v>275</v>
      </c>
      <c r="B276" s="3">
        <v>3.41</v>
      </c>
      <c r="C276" s="2">
        <v>1</v>
      </c>
      <c r="D276" s="2">
        <v>0</v>
      </c>
      <c r="E276" s="47"/>
    </row>
    <row r="277" spans="1:5" x14ac:dyDescent="0.25">
      <c r="A277" s="2">
        <v>276</v>
      </c>
      <c r="B277" s="3">
        <v>3.29</v>
      </c>
      <c r="C277" s="2">
        <v>0</v>
      </c>
      <c r="D277" s="2">
        <v>0</v>
      </c>
      <c r="E277" s="47"/>
    </row>
    <row r="278" spans="1:5" x14ac:dyDescent="0.25">
      <c r="A278" s="2">
        <v>277</v>
      </c>
      <c r="B278" s="3">
        <v>3.42</v>
      </c>
      <c r="C278" s="2">
        <v>0</v>
      </c>
      <c r="D278" s="2">
        <v>0</v>
      </c>
      <c r="E278" s="47"/>
    </row>
    <row r="279" spans="1:5" x14ac:dyDescent="0.25">
      <c r="A279" s="2">
        <v>278</v>
      </c>
      <c r="B279" s="3">
        <v>2.69</v>
      </c>
      <c r="C279" s="2">
        <v>0</v>
      </c>
      <c r="D279" s="2">
        <v>1</v>
      </c>
      <c r="E279" s="47"/>
    </row>
    <row r="280" spans="1:5" x14ac:dyDescent="0.25">
      <c r="A280" s="2">
        <v>279</v>
      </c>
      <c r="B280" s="3">
        <v>3.2</v>
      </c>
      <c r="C280" s="2">
        <v>0</v>
      </c>
      <c r="D280" s="2">
        <v>0</v>
      </c>
      <c r="E280" s="47"/>
    </row>
    <row r="281" spans="1:5" x14ac:dyDescent="0.25">
      <c r="A281" s="2">
        <v>280</v>
      </c>
      <c r="B281" s="3">
        <v>2.99</v>
      </c>
      <c r="C281" s="2">
        <v>0</v>
      </c>
      <c r="D281" s="2">
        <v>0</v>
      </c>
      <c r="E281" s="47"/>
    </row>
    <row r="282" spans="1:5" x14ac:dyDescent="0.25">
      <c r="A282" s="2">
        <v>281</v>
      </c>
      <c r="B282" s="3">
        <v>2.8</v>
      </c>
      <c r="C282" s="2">
        <v>0</v>
      </c>
      <c r="D282" s="2">
        <v>0</v>
      </c>
      <c r="E282" s="47"/>
    </row>
    <row r="283" spans="1:5" x14ac:dyDescent="0.25">
      <c r="A283" s="2">
        <v>282</v>
      </c>
      <c r="B283" s="3">
        <v>3.23</v>
      </c>
      <c r="C283" s="2">
        <v>0</v>
      </c>
      <c r="D283" s="2">
        <v>0</v>
      </c>
      <c r="E283" s="47"/>
    </row>
    <row r="284" spans="1:5" x14ac:dyDescent="0.25">
      <c r="A284" s="2">
        <v>283</v>
      </c>
      <c r="B284" s="3">
        <v>3.41</v>
      </c>
      <c r="C284" s="2">
        <v>1</v>
      </c>
      <c r="D284" s="2">
        <v>0</v>
      </c>
      <c r="E284" s="47"/>
    </row>
    <row r="285" spans="1:5" x14ac:dyDescent="0.25">
      <c r="A285" s="2">
        <v>284</v>
      </c>
      <c r="B285" s="3">
        <v>2.54</v>
      </c>
      <c r="C285" s="2">
        <v>0</v>
      </c>
      <c r="D285" s="2">
        <v>0</v>
      </c>
      <c r="E285" s="47"/>
    </row>
    <row r="286" spans="1:5" x14ac:dyDescent="0.25">
      <c r="A286" s="2">
        <v>285</v>
      </c>
      <c r="B286" s="3">
        <v>2.62</v>
      </c>
      <c r="C286" s="2">
        <v>0</v>
      </c>
      <c r="D286" s="2">
        <v>1</v>
      </c>
      <c r="E286" s="47"/>
    </row>
    <row r="287" spans="1:5" x14ac:dyDescent="0.25">
      <c r="A287" s="2">
        <v>286</v>
      </c>
      <c r="B287" s="3">
        <v>2.8899999999999997</v>
      </c>
      <c r="C287" s="2">
        <v>0</v>
      </c>
      <c r="D287" s="2">
        <v>1</v>
      </c>
      <c r="E287" s="47"/>
    </row>
    <row r="288" spans="1:5" x14ac:dyDescent="0.25">
      <c r="A288" s="2">
        <v>287</v>
      </c>
      <c r="B288" s="3">
        <v>2.63</v>
      </c>
      <c r="C288" s="2">
        <v>0</v>
      </c>
      <c r="D288" s="2">
        <v>0</v>
      </c>
      <c r="E288" s="47"/>
    </row>
    <row r="289" spans="1:5" x14ac:dyDescent="0.25">
      <c r="A289" s="2">
        <v>288</v>
      </c>
      <c r="B289" s="3">
        <v>3.25</v>
      </c>
      <c r="C289" s="2">
        <v>1</v>
      </c>
      <c r="D289" s="2">
        <v>0</v>
      </c>
      <c r="E289" s="47"/>
    </row>
    <row r="290" spans="1:5" x14ac:dyDescent="0.25">
      <c r="A290" s="2">
        <v>289</v>
      </c>
      <c r="B290" s="3">
        <v>2.79</v>
      </c>
      <c r="C290" s="2">
        <v>0</v>
      </c>
      <c r="D290" s="2">
        <v>0</v>
      </c>
      <c r="E290" s="47"/>
    </row>
    <row r="291" spans="1:5" x14ac:dyDescent="0.25">
      <c r="A291" s="2">
        <v>290</v>
      </c>
      <c r="B291" s="3">
        <v>2.95</v>
      </c>
      <c r="C291" s="2">
        <v>0</v>
      </c>
      <c r="D291" s="2">
        <v>0</v>
      </c>
      <c r="E291" s="47"/>
    </row>
    <row r="292" spans="1:5" x14ac:dyDescent="0.25">
      <c r="A292" s="2">
        <v>291</v>
      </c>
      <c r="B292" s="3">
        <v>2.6</v>
      </c>
      <c r="C292" s="2">
        <v>0</v>
      </c>
      <c r="D292" s="2">
        <v>0</v>
      </c>
      <c r="E292" s="47"/>
    </row>
    <row r="293" spans="1:5" x14ac:dyDescent="0.25">
      <c r="A293" s="2">
        <v>292</v>
      </c>
      <c r="B293" s="3">
        <v>2.17</v>
      </c>
      <c r="C293" s="2">
        <v>0</v>
      </c>
      <c r="D293" s="2">
        <v>0</v>
      </c>
      <c r="E293" s="47"/>
    </row>
    <row r="294" spans="1:5" x14ac:dyDescent="0.25">
      <c r="A294" s="2">
        <v>293</v>
      </c>
      <c r="B294" s="3">
        <v>3.16</v>
      </c>
      <c r="C294" s="2">
        <v>0</v>
      </c>
      <c r="D294" s="2">
        <v>0</v>
      </c>
      <c r="E294" s="47"/>
    </row>
    <row r="295" spans="1:5" x14ac:dyDescent="0.25">
      <c r="A295" s="2">
        <v>294</v>
      </c>
      <c r="B295" s="3">
        <v>2.6799999999999997</v>
      </c>
      <c r="C295" s="2">
        <v>0</v>
      </c>
      <c r="D295" s="2">
        <v>1</v>
      </c>
      <c r="E295" s="47"/>
    </row>
    <row r="296" spans="1:5" x14ac:dyDescent="0.25">
      <c r="A296" s="2">
        <v>295</v>
      </c>
      <c r="B296" s="3">
        <v>2.7800000000000002</v>
      </c>
      <c r="C296" s="2">
        <v>1</v>
      </c>
      <c r="D296" s="2">
        <v>1</v>
      </c>
      <c r="E296" s="47"/>
    </row>
    <row r="297" spans="1:5" x14ac:dyDescent="0.25">
      <c r="A297" s="2">
        <v>296</v>
      </c>
      <c r="B297" s="3">
        <v>3.06</v>
      </c>
      <c r="C297" s="2">
        <v>0</v>
      </c>
      <c r="D297" s="2">
        <v>0</v>
      </c>
      <c r="E297" s="47"/>
    </row>
    <row r="298" spans="1:5" x14ac:dyDescent="0.25">
      <c r="A298" s="2">
        <v>297</v>
      </c>
      <c r="B298" s="3">
        <v>3.37</v>
      </c>
      <c r="C298" s="2">
        <v>0</v>
      </c>
      <c r="D298" s="2">
        <v>0</v>
      </c>
      <c r="E298" s="47"/>
    </row>
    <row r="299" spans="1:5" x14ac:dyDescent="0.25">
      <c r="A299" s="2">
        <v>298</v>
      </c>
      <c r="B299" s="3">
        <v>3.31</v>
      </c>
      <c r="C299" s="2">
        <v>0</v>
      </c>
      <c r="D299" s="2">
        <v>0</v>
      </c>
      <c r="E299" s="47"/>
    </row>
    <row r="300" spans="1:5" x14ac:dyDescent="0.25">
      <c r="A300" s="2">
        <v>299</v>
      </c>
      <c r="B300" s="3">
        <v>2.9</v>
      </c>
      <c r="C300" s="2">
        <v>0</v>
      </c>
      <c r="D300" s="2">
        <v>0</v>
      </c>
      <c r="E300" s="47"/>
    </row>
    <row r="301" spans="1:5" x14ac:dyDescent="0.25">
      <c r="A301" s="2">
        <v>300</v>
      </c>
      <c r="B301" s="3">
        <v>2.9299999999999997</v>
      </c>
      <c r="C301" s="2">
        <v>0</v>
      </c>
      <c r="D301" s="2">
        <v>1</v>
      </c>
      <c r="E301" s="47"/>
    </row>
    <row r="302" spans="1:5" x14ac:dyDescent="0.25">
      <c r="A302" s="2">
        <v>301</v>
      </c>
      <c r="B302" s="3">
        <v>2.95</v>
      </c>
      <c r="C302" s="2">
        <v>0</v>
      </c>
      <c r="D302" s="2">
        <v>0</v>
      </c>
      <c r="E302" s="47"/>
    </row>
    <row r="303" spans="1:5" x14ac:dyDescent="0.25">
      <c r="A303" s="2">
        <v>302</v>
      </c>
      <c r="B303" s="3">
        <v>2.93</v>
      </c>
      <c r="C303" s="2">
        <v>1</v>
      </c>
      <c r="D303" s="2">
        <v>0</v>
      </c>
      <c r="E303" s="47"/>
    </row>
    <row r="304" spans="1:5" x14ac:dyDescent="0.25">
      <c r="A304" s="2">
        <v>303</v>
      </c>
      <c r="B304" s="3">
        <v>2.17</v>
      </c>
      <c r="C304" s="2">
        <v>0</v>
      </c>
      <c r="D304" s="2">
        <v>0</v>
      </c>
      <c r="E304" s="47"/>
    </row>
    <row r="305" spans="1:5" x14ac:dyDescent="0.25">
      <c r="A305" s="2">
        <v>304</v>
      </c>
      <c r="B305" s="3">
        <v>2.4300000000000002</v>
      </c>
      <c r="C305" s="2">
        <v>0</v>
      </c>
      <c r="D305" s="2">
        <v>0</v>
      </c>
      <c r="E305" s="47"/>
    </row>
    <row r="306" spans="1:5" x14ac:dyDescent="0.25">
      <c r="A306" s="2">
        <v>305</v>
      </c>
      <c r="B306" s="3">
        <v>2.71</v>
      </c>
      <c r="C306" s="2">
        <v>0</v>
      </c>
      <c r="D306" s="2">
        <v>1</v>
      </c>
      <c r="E306" s="47"/>
    </row>
    <row r="307" spans="1:5" x14ac:dyDescent="0.25">
      <c r="A307" s="2">
        <v>306</v>
      </c>
      <c r="B307" s="3">
        <v>3.26</v>
      </c>
      <c r="C307" s="2">
        <v>0</v>
      </c>
      <c r="D307" s="2">
        <v>0</v>
      </c>
      <c r="E307" s="47"/>
    </row>
    <row r="308" spans="1:5" x14ac:dyDescent="0.25">
      <c r="A308" s="2">
        <v>307</v>
      </c>
      <c r="B308" s="3">
        <v>2.8200000000000003</v>
      </c>
      <c r="C308" s="2">
        <v>0</v>
      </c>
      <c r="D308" s="2">
        <v>1</v>
      </c>
      <c r="E308" s="47"/>
    </row>
    <row r="309" spans="1:5" x14ac:dyDescent="0.25">
      <c r="A309" s="2">
        <v>308</v>
      </c>
      <c r="B309" s="3">
        <v>2.2599999999999998</v>
      </c>
      <c r="C309" s="2">
        <v>0</v>
      </c>
      <c r="D309" s="2">
        <v>0</v>
      </c>
      <c r="E309" s="47"/>
    </row>
    <row r="310" spans="1:5" x14ac:dyDescent="0.25">
      <c r="A310" s="2">
        <v>309</v>
      </c>
      <c r="B310" s="3">
        <v>2.4</v>
      </c>
      <c r="C310" s="2">
        <v>0</v>
      </c>
      <c r="D310" s="2">
        <v>0</v>
      </c>
      <c r="E310" s="47"/>
    </row>
    <row r="311" spans="1:5" x14ac:dyDescent="0.25">
      <c r="A311" s="2">
        <v>310</v>
      </c>
      <c r="B311" s="3">
        <v>3.17</v>
      </c>
      <c r="C311" s="2">
        <v>0</v>
      </c>
      <c r="D311" s="2">
        <v>0</v>
      </c>
      <c r="E311" s="47"/>
    </row>
    <row r="312" spans="1:5" x14ac:dyDescent="0.25">
      <c r="A312" s="2">
        <v>311</v>
      </c>
      <c r="B312" s="3">
        <v>2.79</v>
      </c>
      <c r="C312" s="2">
        <v>0</v>
      </c>
      <c r="D312" s="2">
        <v>0</v>
      </c>
      <c r="E312" s="47"/>
    </row>
    <row r="313" spans="1:5" x14ac:dyDescent="0.25">
      <c r="A313" s="2">
        <v>312</v>
      </c>
      <c r="B313" s="3">
        <v>2.35</v>
      </c>
      <c r="C313" s="2">
        <v>0</v>
      </c>
      <c r="D313" s="2">
        <v>0</v>
      </c>
      <c r="E313" s="47"/>
    </row>
    <row r="314" spans="1:5" x14ac:dyDescent="0.25">
      <c r="A314" s="2">
        <v>313</v>
      </c>
      <c r="B314" s="3">
        <v>2.83</v>
      </c>
      <c r="C314" s="2">
        <v>0</v>
      </c>
      <c r="D314" s="2">
        <v>0</v>
      </c>
      <c r="E314" s="47"/>
    </row>
    <row r="315" spans="1:5" x14ac:dyDescent="0.25">
      <c r="A315" s="2">
        <v>314</v>
      </c>
      <c r="B315" s="3">
        <v>3.74</v>
      </c>
      <c r="C315" s="2">
        <v>1</v>
      </c>
      <c r="D315" s="2">
        <v>0</v>
      </c>
      <c r="E315" s="47"/>
    </row>
    <row r="316" spans="1:5" x14ac:dyDescent="0.25">
      <c r="A316" s="2">
        <v>315</v>
      </c>
      <c r="B316" s="3">
        <v>2.25</v>
      </c>
      <c r="C316" s="2">
        <v>0</v>
      </c>
      <c r="D316" s="2">
        <v>0</v>
      </c>
      <c r="E316" s="47"/>
    </row>
    <row r="317" spans="1:5" x14ac:dyDescent="0.25">
      <c r="A317" s="2">
        <v>316</v>
      </c>
      <c r="B317" s="3">
        <v>2.4700000000000002</v>
      </c>
      <c r="C317" s="2">
        <v>0</v>
      </c>
      <c r="D317" s="2">
        <v>0</v>
      </c>
      <c r="E317" s="47"/>
    </row>
    <row r="318" spans="1:5" x14ac:dyDescent="0.25">
      <c r="A318" s="2">
        <v>317</v>
      </c>
      <c r="B318" s="3">
        <v>2.88</v>
      </c>
      <c r="C318" s="2">
        <v>0</v>
      </c>
      <c r="D318" s="2">
        <v>0</v>
      </c>
      <c r="E318" s="47"/>
    </row>
    <row r="319" spans="1:5" x14ac:dyDescent="0.25">
      <c r="A319" s="2">
        <v>318</v>
      </c>
      <c r="B319" s="3">
        <v>2.87</v>
      </c>
      <c r="C319" s="2">
        <v>1</v>
      </c>
      <c r="D319" s="2">
        <v>0</v>
      </c>
      <c r="E319" s="47"/>
    </row>
    <row r="320" spans="1:5" x14ac:dyDescent="0.25">
      <c r="A320" s="2">
        <v>319</v>
      </c>
      <c r="B320" s="3">
        <v>3.15</v>
      </c>
      <c r="C320" s="2">
        <v>0</v>
      </c>
      <c r="D320" s="2">
        <v>0</v>
      </c>
      <c r="E320" s="47"/>
    </row>
    <row r="321" spans="1:5" x14ac:dyDescent="0.25">
      <c r="A321" s="2">
        <v>320</v>
      </c>
      <c r="B321" s="3">
        <v>2.79</v>
      </c>
      <c r="C321" s="2">
        <v>0</v>
      </c>
      <c r="D321" s="2">
        <v>1</v>
      </c>
      <c r="E321" s="47"/>
    </row>
    <row r="322" spans="1:5" x14ac:dyDescent="0.25">
      <c r="A322" s="2">
        <v>321</v>
      </c>
      <c r="B322" s="3">
        <v>3.19</v>
      </c>
      <c r="C322" s="2">
        <v>0</v>
      </c>
      <c r="D322" s="2">
        <v>0</v>
      </c>
      <c r="E322" s="47"/>
    </row>
    <row r="323" spans="1:5" x14ac:dyDescent="0.25">
      <c r="A323" s="2">
        <v>322</v>
      </c>
      <c r="B323" s="3">
        <v>2.66</v>
      </c>
      <c r="C323" s="2">
        <v>0</v>
      </c>
      <c r="D323" s="2">
        <v>0</v>
      </c>
      <c r="E323" s="47"/>
    </row>
    <row r="324" spans="1:5" x14ac:dyDescent="0.25">
      <c r="A324" s="2">
        <v>323</v>
      </c>
      <c r="B324" s="3">
        <v>2.19</v>
      </c>
      <c r="C324" s="2">
        <v>0</v>
      </c>
      <c r="D324" s="2">
        <v>0</v>
      </c>
      <c r="E324" s="47"/>
    </row>
    <row r="325" spans="1:5" x14ac:dyDescent="0.25">
      <c r="A325" s="2">
        <v>324</v>
      </c>
      <c r="B325" s="3">
        <v>2.13</v>
      </c>
      <c r="C325" s="2">
        <v>0</v>
      </c>
      <c r="D325" s="2">
        <v>0</v>
      </c>
      <c r="E325" s="47"/>
    </row>
    <row r="326" spans="1:5" x14ac:dyDescent="0.25">
      <c r="A326" s="2">
        <v>325</v>
      </c>
      <c r="B326" s="3">
        <v>3.15</v>
      </c>
      <c r="C326" s="2">
        <v>1</v>
      </c>
      <c r="D326" s="2">
        <v>1</v>
      </c>
      <c r="E326" s="47"/>
    </row>
    <row r="327" spans="1:5" x14ac:dyDescent="0.25">
      <c r="A327" s="2">
        <v>326</v>
      </c>
      <c r="B327" s="3">
        <v>3.67</v>
      </c>
      <c r="C327" s="2">
        <v>1</v>
      </c>
      <c r="D327" s="2">
        <v>0</v>
      </c>
      <c r="E327" s="47"/>
    </row>
    <row r="328" spans="1:5" x14ac:dyDescent="0.25">
      <c r="A328" s="2">
        <v>327</v>
      </c>
      <c r="B328" s="3">
        <v>2.41</v>
      </c>
      <c r="C328" s="2">
        <v>0</v>
      </c>
      <c r="D328" s="2">
        <v>0</v>
      </c>
      <c r="E328" s="47"/>
    </row>
    <row r="329" spans="1:5" x14ac:dyDescent="0.25">
      <c r="A329" s="2">
        <v>328</v>
      </c>
      <c r="B329" s="3">
        <v>2.95</v>
      </c>
      <c r="C329" s="2">
        <v>1</v>
      </c>
      <c r="D329" s="2">
        <v>0</v>
      </c>
      <c r="E329" s="47"/>
    </row>
    <row r="330" spans="1:5" x14ac:dyDescent="0.25">
      <c r="A330" s="2">
        <v>329</v>
      </c>
      <c r="B330" s="3">
        <v>2.84</v>
      </c>
      <c r="C330" s="2">
        <v>0</v>
      </c>
      <c r="D330" s="2">
        <v>0</v>
      </c>
      <c r="E330" s="47"/>
    </row>
    <row r="331" spans="1:5" x14ac:dyDescent="0.25">
      <c r="A331" s="2">
        <v>330</v>
      </c>
      <c r="B331" s="3">
        <v>3.14</v>
      </c>
      <c r="C331" s="2">
        <v>0</v>
      </c>
      <c r="D331" s="2">
        <v>0</v>
      </c>
      <c r="E331" s="47"/>
    </row>
    <row r="332" spans="1:5" x14ac:dyDescent="0.25">
      <c r="A332" s="2">
        <v>331</v>
      </c>
      <c r="B332" s="3">
        <v>3.61</v>
      </c>
      <c r="C332" s="2">
        <v>1</v>
      </c>
      <c r="D332" s="2">
        <v>0</v>
      </c>
      <c r="E332" s="47"/>
    </row>
    <row r="333" spans="1:5" x14ac:dyDescent="0.25">
      <c r="A333" s="2">
        <v>332</v>
      </c>
      <c r="B333" s="3">
        <v>2.85</v>
      </c>
      <c r="C333" s="2">
        <v>0</v>
      </c>
      <c r="D333" s="2">
        <v>0</v>
      </c>
      <c r="E333" s="47"/>
    </row>
    <row r="334" spans="1:5" x14ac:dyDescent="0.25">
      <c r="A334" s="2">
        <v>333</v>
      </c>
      <c r="B334" s="3">
        <v>2.42</v>
      </c>
      <c r="C334" s="2">
        <v>0</v>
      </c>
      <c r="D334" s="2">
        <v>0</v>
      </c>
      <c r="E334" s="47"/>
    </row>
    <row r="335" spans="1:5" x14ac:dyDescent="0.25">
      <c r="A335" s="2">
        <v>334</v>
      </c>
      <c r="B335" s="3">
        <v>3.0300000000000002</v>
      </c>
      <c r="C335" s="2">
        <v>0</v>
      </c>
      <c r="D335" s="2">
        <v>1</v>
      </c>
      <c r="E335" s="47"/>
    </row>
    <row r="336" spans="1:5" x14ac:dyDescent="0.25">
      <c r="A336" s="2">
        <v>335</v>
      </c>
      <c r="B336" s="3">
        <v>2.86</v>
      </c>
      <c r="C336" s="2">
        <v>0</v>
      </c>
      <c r="D336" s="2">
        <v>0</v>
      </c>
      <c r="E336" s="47"/>
    </row>
    <row r="337" spans="1:5" x14ac:dyDescent="0.25">
      <c r="A337" s="2">
        <v>336</v>
      </c>
      <c r="B337" s="3">
        <v>3.1</v>
      </c>
      <c r="C337" s="2">
        <v>0</v>
      </c>
      <c r="D337" s="2">
        <v>0</v>
      </c>
      <c r="E337" s="47"/>
    </row>
    <row r="338" spans="1:5" x14ac:dyDescent="0.25">
      <c r="A338" s="2">
        <v>337</v>
      </c>
      <c r="B338" s="3">
        <v>3.55</v>
      </c>
      <c r="C338" s="2">
        <v>1</v>
      </c>
      <c r="D338" s="2">
        <v>0</v>
      </c>
      <c r="E338" s="47"/>
    </row>
    <row r="339" spans="1:5" x14ac:dyDescent="0.25">
      <c r="A339" s="2">
        <v>338</v>
      </c>
      <c r="B339" s="3">
        <v>2.57</v>
      </c>
      <c r="C339" s="2">
        <v>0</v>
      </c>
      <c r="D339" s="2">
        <v>0</v>
      </c>
      <c r="E339" s="47"/>
    </row>
    <row r="340" spans="1:5" x14ac:dyDescent="0.25">
      <c r="A340" s="2">
        <v>339</v>
      </c>
      <c r="B340" s="3">
        <v>2.42</v>
      </c>
      <c r="C340" s="2">
        <v>0</v>
      </c>
      <c r="D340" s="2">
        <v>0</v>
      </c>
      <c r="E340" s="47"/>
    </row>
    <row r="341" spans="1:5" x14ac:dyDescent="0.25">
      <c r="A341" s="2">
        <v>340</v>
      </c>
      <c r="B341" s="3">
        <v>3.01</v>
      </c>
      <c r="C341" s="2">
        <v>0</v>
      </c>
      <c r="D341" s="2">
        <v>0</v>
      </c>
      <c r="E341" s="47"/>
    </row>
    <row r="342" spans="1:5" x14ac:dyDescent="0.25">
      <c r="A342" s="2">
        <v>341</v>
      </c>
      <c r="B342" s="3">
        <v>2.4700000000000002</v>
      </c>
      <c r="C342" s="2">
        <v>0</v>
      </c>
      <c r="D342" s="2">
        <v>0</v>
      </c>
      <c r="E342" s="47"/>
    </row>
    <row r="343" spans="1:5" x14ac:dyDescent="0.25">
      <c r="A343" s="2">
        <v>342</v>
      </c>
      <c r="B343" s="3">
        <v>3.01</v>
      </c>
      <c r="C343" s="2">
        <v>1</v>
      </c>
      <c r="D343" s="2">
        <v>0</v>
      </c>
      <c r="E343" s="47"/>
    </row>
    <row r="344" spans="1:5" x14ac:dyDescent="0.25">
      <c r="A344" s="2">
        <v>343</v>
      </c>
      <c r="B344" s="3">
        <v>2.81</v>
      </c>
      <c r="C344" s="2">
        <v>0</v>
      </c>
      <c r="D344" s="2">
        <v>1</v>
      </c>
      <c r="E344" s="47"/>
    </row>
    <row r="345" spans="1:5" x14ac:dyDescent="0.25">
      <c r="A345" s="2">
        <v>344</v>
      </c>
      <c r="B345" s="3">
        <v>2.0099999999999998</v>
      </c>
      <c r="C345" s="2">
        <v>0</v>
      </c>
      <c r="D345" s="2">
        <v>0</v>
      </c>
      <c r="E345" s="47"/>
    </row>
    <row r="346" spans="1:5" x14ac:dyDescent="0.25">
      <c r="A346" s="2">
        <v>345</v>
      </c>
      <c r="B346" s="3">
        <v>2.83</v>
      </c>
      <c r="C346" s="2">
        <v>0</v>
      </c>
      <c r="D346" s="2">
        <v>1</v>
      </c>
      <c r="E346" s="47"/>
    </row>
    <row r="347" spans="1:5" x14ac:dyDescent="0.25">
      <c r="A347" s="2">
        <v>346</v>
      </c>
      <c r="B347" s="3">
        <v>2.8200000000000003</v>
      </c>
      <c r="C347" s="2">
        <v>0</v>
      </c>
      <c r="D347" s="2">
        <v>1</v>
      </c>
      <c r="E347" s="47"/>
    </row>
    <row r="348" spans="1:5" x14ac:dyDescent="0.25">
      <c r="A348" s="2">
        <v>347</v>
      </c>
      <c r="B348" s="3">
        <v>2.34</v>
      </c>
      <c r="C348" s="2">
        <v>0</v>
      </c>
      <c r="D348" s="2">
        <v>0</v>
      </c>
      <c r="E348" s="47"/>
    </row>
    <row r="349" spans="1:5" x14ac:dyDescent="0.25">
      <c r="A349" s="2">
        <v>348</v>
      </c>
      <c r="B349" s="3">
        <v>3.02</v>
      </c>
      <c r="C349" s="2">
        <v>1</v>
      </c>
      <c r="D349" s="2">
        <v>0</v>
      </c>
      <c r="E349" s="47"/>
    </row>
    <row r="350" spans="1:5" x14ac:dyDescent="0.25">
      <c r="A350" s="2">
        <v>349</v>
      </c>
      <c r="B350" s="3">
        <v>2.46</v>
      </c>
      <c r="C350" s="2">
        <v>0</v>
      </c>
      <c r="D350" s="2">
        <v>0</v>
      </c>
      <c r="E350" s="47"/>
    </row>
    <row r="351" spans="1:5" x14ac:dyDescent="0.25">
      <c r="A351" s="2">
        <v>350</v>
      </c>
      <c r="B351" s="3">
        <v>3.1</v>
      </c>
      <c r="C351" s="2">
        <v>0</v>
      </c>
      <c r="D351" s="2">
        <v>0</v>
      </c>
      <c r="E351" s="47"/>
    </row>
    <row r="352" spans="1:5" x14ac:dyDescent="0.25">
      <c r="A352" s="2">
        <v>351</v>
      </c>
      <c r="B352" s="3">
        <v>2.63</v>
      </c>
      <c r="C352" s="2">
        <v>1</v>
      </c>
      <c r="D352" s="2">
        <v>0</v>
      </c>
      <c r="E352" s="47"/>
    </row>
    <row r="353" spans="1:5" x14ac:dyDescent="0.25">
      <c r="A353" s="2">
        <v>352</v>
      </c>
      <c r="B353" s="3">
        <v>3.68</v>
      </c>
      <c r="C353" s="2">
        <v>1</v>
      </c>
      <c r="D353" s="2">
        <v>0</v>
      </c>
      <c r="E353" s="47"/>
    </row>
    <row r="354" spans="1:5" x14ac:dyDescent="0.25">
      <c r="A354" s="2">
        <v>353</v>
      </c>
      <c r="B354" s="3">
        <v>3.25</v>
      </c>
      <c r="C354" s="2">
        <v>0</v>
      </c>
      <c r="D354" s="2">
        <v>1</v>
      </c>
      <c r="E354" s="47"/>
    </row>
    <row r="355" spans="1:5" x14ac:dyDescent="0.25">
      <c r="A355" s="2">
        <v>354</v>
      </c>
      <c r="B355" s="3">
        <v>3.35</v>
      </c>
      <c r="C355" s="2">
        <v>0</v>
      </c>
      <c r="D355" s="2">
        <v>0</v>
      </c>
      <c r="E355" s="47"/>
    </row>
    <row r="356" spans="1:5" x14ac:dyDescent="0.25">
      <c r="A356" s="2">
        <v>355</v>
      </c>
      <c r="B356" s="3">
        <v>2.96</v>
      </c>
      <c r="C356" s="2">
        <v>1</v>
      </c>
      <c r="D356" s="2">
        <v>1</v>
      </c>
      <c r="E356" s="47"/>
    </row>
    <row r="357" spans="1:5" x14ac:dyDescent="0.25">
      <c r="A357" s="2">
        <v>356</v>
      </c>
      <c r="B357" s="3">
        <v>2.57</v>
      </c>
      <c r="C357" s="2">
        <v>0</v>
      </c>
      <c r="D357" s="2">
        <v>0</v>
      </c>
      <c r="E357" s="47"/>
    </row>
    <row r="358" spans="1:5" x14ac:dyDescent="0.25">
      <c r="A358" s="2">
        <v>357</v>
      </c>
      <c r="B358" s="3">
        <v>2.2400000000000002</v>
      </c>
      <c r="C358" s="2">
        <v>0</v>
      </c>
      <c r="D358" s="2">
        <v>0</v>
      </c>
      <c r="E358" s="47"/>
    </row>
    <row r="359" spans="1:5" x14ac:dyDescent="0.25">
      <c r="A359" s="2">
        <v>358</v>
      </c>
      <c r="B359" s="3">
        <v>2.65</v>
      </c>
      <c r="C359" s="2">
        <v>0</v>
      </c>
      <c r="D359" s="2">
        <v>0</v>
      </c>
      <c r="E359" s="47"/>
    </row>
    <row r="360" spans="1:5" x14ac:dyDescent="0.25">
      <c r="A360" s="2">
        <v>359</v>
      </c>
      <c r="B360" s="3">
        <v>2.85</v>
      </c>
      <c r="C360" s="2">
        <v>0</v>
      </c>
      <c r="D360" s="2">
        <v>0</v>
      </c>
      <c r="E360" s="47"/>
    </row>
    <row r="361" spans="1:5" x14ac:dyDescent="0.25">
      <c r="A361" s="2">
        <v>360</v>
      </c>
      <c r="B361" s="3">
        <v>2.1</v>
      </c>
      <c r="C361" s="2">
        <v>0</v>
      </c>
      <c r="D361" s="2">
        <v>0</v>
      </c>
      <c r="E361" s="47"/>
    </row>
    <row r="362" spans="1:5" x14ac:dyDescent="0.25">
      <c r="A362" s="2">
        <v>361</v>
      </c>
      <c r="B362" s="3">
        <v>2.65</v>
      </c>
      <c r="C362" s="2">
        <v>1</v>
      </c>
      <c r="D362" s="2">
        <v>0</v>
      </c>
      <c r="E362" s="47"/>
    </row>
    <row r="363" spans="1:5" x14ac:dyDescent="0.25">
      <c r="A363" s="2">
        <v>362</v>
      </c>
      <c r="B363" s="3">
        <v>3.1399999999999997</v>
      </c>
      <c r="C363" s="2">
        <v>0</v>
      </c>
      <c r="D363" s="2">
        <v>1</v>
      </c>
      <c r="E363" s="47"/>
    </row>
    <row r="364" spans="1:5" x14ac:dyDescent="0.25">
      <c r="A364" s="2">
        <v>363</v>
      </c>
      <c r="B364" s="3">
        <v>2.62</v>
      </c>
      <c r="C364" s="2">
        <v>0</v>
      </c>
      <c r="D364" s="2">
        <v>0</v>
      </c>
      <c r="E364" s="47"/>
    </row>
    <row r="365" spans="1:5" x14ac:dyDescent="0.25">
      <c r="A365" s="2">
        <v>364</v>
      </c>
      <c r="B365" s="3">
        <v>2.1</v>
      </c>
      <c r="C365" s="2">
        <v>0</v>
      </c>
      <c r="D365" s="2">
        <v>0</v>
      </c>
      <c r="E365" s="47"/>
    </row>
    <row r="366" spans="1:5" x14ac:dyDescent="0.25">
      <c r="A366" s="2">
        <v>365</v>
      </c>
      <c r="B366" s="3">
        <v>2.75</v>
      </c>
      <c r="C366" s="2">
        <v>0</v>
      </c>
      <c r="D366" s="2">
        <v>0</v>
      </c>
      <c r="E366" s="47"/>
    </row>
    <row r="367" spans="1:5" x14ac:dyDescent="0.25">
      <c r="A367" s="2">
        <v>366</v>
      </c>
      <c r="B367" s="3">
        <v>3.59</v>
      </c>
      <c r="C367" s="2">
        <v>1</v>
      </c>
      <c r="D367" s="2">
        <v>0</v>
      </c>
      <c r="E367" s="47"/>
    </row>
    <row r="368" spans="1:5" x14ac:dyDescent="0.25">
      <c r="A368" s="2">
        <v>367</v>
      </c>
      <c r="B368" s="3">
        <v>2.65</v>
      </c>
      <c r="C368" s="2">
        <v>1</v>
      </c>
      <c r="D368" s="2">
        <v>1</v>
      </c>
      <c r="E368" s="47"/>
    </row>
    <row r="369" spans="1:5" x14ac:dyDescent="0.25">
      <c r="A369" s="2">
        <v>368</v>
      </c>
      <c r="B369" s="3">
        <v>2.57</v>
      </c>
      <c r="C369" s="2">
        <v>0</v>
      </c>
      <c r="D369" s="2">
        <v>0</v>
      </c>
      <c r="E369" s="47"/>
    </row>
    <row r="370" spans="1:5" x14ac:dyDescent="0.25">
      <c r="A370" s="2">
        <v>369</v>
      </c>
      <c r="B370" s="3">
        <v>3.53</v>
      </c>
      <c r="C370" s="2">
        <v>1</v>
      </c>
      <c r="D370" s="2">
        <v>0</v>
      </c>
      <c r="E370" s="47"/>
    </row>
    <row r="371" spans="1:5" x14ac:dyDescent="0.25">
      <c r="A371" s="2">
        <v>370</v>
      </c>
      <c r="B371" s="3">
        <v>2.52</v>
      </c>
      <c r="C371" s="2">
        <v>0</v>
      </c>
      <c r="D371" s="2">
        <v>0</v>
      </c>
      <c r="E371" s="47"/>
    </row>
    <row r="372" spans="1:5" x14ac:dyDescent="0.25">
      <c r="A372" s="2">
        <v>371</v>
      </c>
      <c r="B372" s="3">
        <v>2.14</v>
      </c>
      <c r="C372" s="2">
        <v>0</v>
      </c>
      <c r="D372" s="2">
        <v>0</v>
      </c>
      <c r="E372" s="47"/>
    </row>
    <row r="373" spans="1:5" x14ac:dyDescent="0.25">
      <c r="A373" s="2">
        <v>372</v>
      </c>
      <c r="B373" s="3">
        <v>2.9</v>
      </c>
      <c r="C373" s="2">
        <v>0</v>
      </c>
      <c r="D373" s="2">
        <v>0</v>
      </c>
      <c r="E373" s="47"/>
    </row>
    <row r="374" spans="1:5" x14ac:dyDescent="0.25">
      <c r="A374" s="2">
        <v>373</v>
      </c>
      <c r="B374" s="3">
        <v>3.78</v>
      </c>
      <c r="C374" s="2">
        <v>1</v>
      </c>
      <c r="D374" s="2">
        <v>0</v>
      </c>
      <c r="E374" s="47"/>
    </row>
    <row r="375" spans="1:5" x14ac:dyDescent="0.25">
      <c r="A375" s="2">
        <v>374</v>
      </c>
      <c r="B375" s="3">
        <v>3.65</v>
      </c>
      <c r="C375" s="2">
        <v>1</v>
      </c>
      <c r="D375" s="2">
        <v>0</v>
      </c>
      <c r="E375" s="47"/>
    </row>
    <row r="376" spans="1:5" x14ac:dyDescent="0.25">
      <c r="A376" s="2">
        <v>375</v>
      </c>
      <c r="B376" s="3">
        <v>2.92</v>
      </c>
      <c r="C376" s="2">
        <v>0</v>
      </c>
      <c r="D376" s="2">
        <v>1</v>
      </c>
      <c r="E376" s="47"/>
    </row>
    <row r="377" spans="1:5" x14ac:dyDescent="0.25">
      <c r="A377" s="2">
        <v>376</v>
      </c>
      <c r="B377" s="3">
        <v>2.17</v>
      </c>
      <c r="C377" s="2">
        <v>0</v>
      </c>
      <c r="D377" s="2">
        <v>0</v>
      </c>
      <c r="E377" s="47"/>
    </row>
    <row r="378" spans="1:5" x14ac:dyDescent="0.25">
      <c r="A378" s="2">
        <v>377</v>
      </c>
      <c r="B378" s="3">
        <v>2.41</v>
      </c>
      <c r="C378" s="2">
        <v>0</v>
      </c>
      <c r="D378" s="2">
        <v>0</v>
      </c>
      <c r="E378" s="47"/>
    </row>
    <row r="379" spans="1:5" x14ac:dyDescent="0.25">
      <c r="A379" s="2">
        <v>378</v>
      </c>
      <c r="B379" s="3">
        <v>2.8899999999999997</v>
      </c>
      <c r="C379" s="2">
        <v>1</v>
      </c>
      <c r="D379" s="2">
        <v>1</v>
      </c>
      <c r="E379" s="47"/>
    </row>
    <row r="380" spans="1:5" x14ac:dyDescent="0.25">
      <c r="A380" s="2">
        <v>379</v>
      </c>
      <c r="B380" s="3">
        <v>2.99</v>
      </c>
      <c r="C380" s="2">
        <v>0</v>
      </c>
      <c r="D380" s="2">
        <v>0</v>
      </c>
      <c r="E380" s="47"/>
    </row>
    <row r="381" spans="1:5" x14ac:dyDescent="0.25">
      <c r="A381" s="2">
        <v>380</v>
      </c>
      <c r="B381" s="3">
        <v>2.68</v>
      </c>
      <c r="C381" s="2">
        <v>1</v>
      </c>
      <c r="D381" s="2">
        <v>0</v>
      </c>
      <c r="E381" s="47"/>
    </row>
    <row r="382" spans="1:5" x14ac:dyDescent="0.25">
      <c r="A382" s="2">
        <v>381</v>
      </c>
      <c r="B382" s="3">
        <v>2.19</v>
      </c>
      <c r="C382" s="2">
        <v>0</v>
      </c>
      <c r="D382" s="2">
        <v>0</v>
      </c>
      <c r="E382" s="47"/>
    </row>
    <row r="383" spans="1:5" x14ac:dyDescent="0.25">
      <c r="A383" s="2">
        <v>382</v>
      </c>
      <c r="B383" s="3">
        <v>2.84</v>
      </c>
      <c r="C383" s="2">
        <v>1</v>
      </c>
      <c r="D383" s="2">
        <v>1</v>
      </c>
      <c r="E383" s="47"/>
    </row>
    <row r="384" spans="1:5" x14ac:dyDescent="0.25">
      <c r="A384" s="2">
        <v>383</v>
      </c>
      <c r="B384" s="3">
        <v>2.8</v>
      </c>
      <c r="C384" s="2">
        <v>1</v>
      </c>
      <c r="D384" s="2">
        <v>1</v>
      </c>
      <c r="E384" s="47"/>
    </row>
    <row r="385" spans="1:5" x14ac:dyDescent="0.25">
      <c r="A385" s="2">
        <v>384</v>
      </c>
      <c r="B385" s="3">
        <v>2.46</v>
      </c>
      <c r="C385" s="2">
        <v>0</v>
      </c>
      <c r="D385" s="2">
        <v>0</v>
      </c>
      <c r="E385" s="47"/>
    </row>
    <row r="386" spans="1:5" x14ac:dyDescent="0.25">
      <c r="A386" s="2">
        <v>385</v>
      </c>
      <c r="B386" s="3">
        <v>3.5</v>
      </c>
      <c r="C386" s="2">
        <v>0</v>
      </c>
      <c r="D386" s="2">
        <v>0</v>
      </c>
      <c r="E386" s="47"/>
    </row>
    <row r="387" spans="1:5" x14ac:dyDescent="0.25">
      <c r="A387" s="2">
        <v>386</v>
      </c>
      <c r="B387" s="3">
        <v>3.1</v>
      </c>
      <c r="C387" s="2">
        <v>0</v>
      </c>
      <c r="D387" s="2">
        <v>0</v>
      </c>
      <c r="E387" s="47"/>
    </row>
    <row r="388" spans="1:5" x14ac:dyDescent="0.25">
      <c r="A388" s="2">
        <v>387</v>
      </c>
      <c r="B388" s="3">
        <v>2.8200000000000003</v>
      </c>
      <c r="C388" s="2">
        <v>1</v>
      </c>
      <c r="D388" s="2">
        <v>1</v>
      </c>
      <c r="E388" s="47"/>
    </row>
    <row r="389" spans="1:5" x14ac:dyDescent="0.25">
      <c r="A389" s="2">
        <v>388</v>
      </c>
      <c r="B389" s="3">
        <v>2.4700000000000002</v>
      </c>
      <c r="C389" s="2">
        <v>0</v>
      </c>
      <c r="D389" s="2">
        <v>0</v>
      </c>
      <c r="E389" s="47"/>
    </row>
    <row r="390" spans="1:5" x14ac:dyDescent="0.25">
      <c r="A390" s="2">
        <v>389</v>
      </c>
      <c r="B390" s="3">
        <v>2.77</v>
      </c>
      <c r="C390" s="2">
        <v>0</v>
      </c>
      <c r="D390" s="2">
        <v>0</v>
      </c>
      <c r="E390" s="47"/>
    </row>
    <row r="391" spans="1:5" x14ac:dyDescent="0.25">
      <c r="A391" s="2">
        <v>390</v>
      </c>
      <c r="B391" s="3">
        <v>2.29</v>
      </c>
      <c r="C391" s="2">
        <v>0</v>
      </c>
      <c r="D391" s="2">
        <v>0</v>
      </c>
      <c r="E391" s="47"/>
    </row>
    <row r="392" spans="1:5" x14ac:dyDescent="0.25">
      <c r="A392" s="2">
        <v>391</v>
      </c>
      <c r="B392" s="3">
        <v>2.9299999999999997</v>
      </c>
      <c r="C392" s="2">
        <v>0</v>
      </c>
      <c r="D392" s="2">
        <v>1</v>
      </c>
      <c r="E392" s="47"/>
    </row>
    <row r="393" spans="1:5" x14ac:dyDescent="0.25">
      <c r="A393" s="2">
        <v>392</v>
      </c>
      <c r="B393" s="3">
        <v>2.83</v>
      </c>
      <c r="C393" s="2">
        <v>1</v>
      </c>
      <c r="D393" s="2">
        <v>0</v>
      </c>
      <c r="E393" s="47"/>
    </row>
    <row r="394" spans="1:5" x14ac:dyDescent="0.25">
      <c r="A394" s="2">
        <v>393</v>
      </c>
      <c r="B394" s="3">
        <v>2.72</v>
      </c>
      <c r="C394" s="2">
        <v>1</v>
      </c>
      <c r="D394" s="2">
        <v>0</v>
      </c>
      <c r="E394" s="47"/>
    </row>
    <row r="395" spans="1:5" x14ac:dyDescent="0.25">
      <c r="A395" s="2">
        <v>394</v>
      </c>
      <c r="B395" s="3">
        <v>2.82</v>
      </c>
      <c r="C395" s="2">
        <v>1</v>
      </c>
      <c r="D395" s="2">
        <v>0</v>
      </c>
      <c r="E395" s="47"/>
    </row>
    <row r="396" spans="1:5" x14ac:dyDescent="0.25">
      <c r="A396" s="2">
        <v>395</v>
      </c>
      <c r="B396" s="3">
        <v>2.14</v>
      </c>
      <c r="C396" s="2">
        <v>0</v>
      </c>
      <c r="D396" s="2">
        <v>0</v>
      </c>
      <c r="E396" s="47"/>
    </row>
    <row r="397" spans="1:5" x14ac:dyDescent="0.25">
      <c r="A397" s="2">
        <v>396</v>
      </c>
      <c r="B397" s="3">
        <v>2.1</v>
      </c>
      <c r="C397" s="2">
        <v>0</v>
      </c>
      <c r="D397" s="2">
        <v>0</v>
      </c>
      <c r="E397" s="47"/>
    </row>
    <row r="398" spans="1:5" x14ac:dyDescent="0.25">
      <c r="A398" s="2">
        <v>397</v>
      </c>
      <c r="B398" s="3">
        <v>2.54</v>
      </c>
      <c r="C398" s="2">
        <v>1</v>
      </c>
      <c r="D398" s="2">
        <v>0</v>
      </c>
      <c r="E398" s="47"/>
    </row>
    <row r="399" spans="1:5" x14ac:dyDescent="0.25">
      <c r="A399" s="2">
        <v>398</v>
      </c>
      <c r="B399" s="3">
        <v>2.7</v>
      </c>
      <c r="C399" s="2">
        <v>0</v>
      </c>
      <c r="D399" s="2">
        <v>0</v>
      </c>
      <c r="E399" s="47"/>
    </row>
    <row r="400" spans="1:5" x14ac:dyDescent="0.25">
      <c r="A400" s="2">
        <v>399</v>
      </c>
      <c r="B400" s="3">
        <v>3.48</v>
      </c>
      <c r="C400" s="2">
        <v>1</v>
      </c>
      <c r="D400" s="2">
        <v>0</v>
      </c>
      <c r="E400" s="47"/>
    </row>
    <row r="401" spans="1:5" x14ac:dyDescent="0.25">
      <c r="A401" s="2">
        <v>400</v>
      </c>
      <c r="B401" s="3">
        <v>2.77</v>
      </c>
      <c r="C401" s="2">
        <v>0</v>
      </c>
      <c r="D401" s="2">
        <v>1</v>
      </c>
      <c r="E401" s="47"/>
    </row>
    <row r="402" spans="1:5" x14ac:dyDescent="0.25">
      <c r="A402" s="2">
        <v>401</v>
      </c>
      <c r="B402" s="3">
        <v>2.4900000000000002</v>
      </c>
      <c r="C402" s="2">
        <v>0</v>
      </c>
      <c r="D402" s="2">
        <v>1</v>
      </c>
      <c r="E402" s="47"/>
    </row>
    <row r="403" spans="1:5" x14ac:dyDescent="0.25">
      <c r="A403" s="2">
        <v>402</v>
      </c>
      <c r="B403" s="3">
        <v>2.67</v>
      </c>
      <c r="C403" s="2">
        <v>1</v>
      </c>
      <c r="D403" s="2">
        <v>0</v>
      </c>
      <c r="E403" s="47"/>
    </row>
    <row r="404" spans="1:5" x14ac:dyDescent="0.25">
      <c r="A404" s="2">
        <v>403</v>
      </c>
      <c r="B404" s="3">
        <v>2.86</v>
      </c>
      <c r="C404" s="2">
        <v>0</v>
      </c>
      <c r="D404" s="2">
        <v>1</v>
      </c>
      <c r="E404" s="47"/>
    </row>
    <row r="405" spans="1:5" x14ac:dyDescent="0.25">
      <c r="A405" s="2">
        <v>404</v>
      </c>
      <c r="B405" s="3">
        <v>2.21</v>
      </c>
      <c r="C405" s="2">
        <v>0</v>
      </c>
      <c r="D405" s="2">
        <v>0</v>
      </c>
      <c r="E405" s="47"/>
    </row>
    <row r="406" spans="1:5" x14ac:dyDescent="0.25">
      <c r="A406" s="2">
        <v>405</v>
      </c>
      <c r="B406" s="3">
        <v>2.91</v>
      </c>
      <c r="C406" s="2">
        <v>0</v>
      </c>
      <c r="D406" s="2">
        <v>1</v>
      </c>
      <c r="E406" s="47"/>
    </row>
    <row r="407" spans="1:5" x14ac:dyDescent="0.25">
      <c r="A407" s="2">
        <v>406</v>
      </c>
      <c r="B407" s="3">
        <v>2.85</v>
      </c>
      <c r="C407" s="2">
        <v>0</v>
      </c>
      <c r="D407" s="2">
        <v>0</v>
      </c>
      <c r="E407" s="47"/>
    </row>
    <row r="408" spans="1:5" x14ac:dyDescent="0.25">
      <c r="A408" s="2">
        <v>407</v>
      </c>
      <c r="B408" s="3">
        <v>2.94</v>
      </c>
      <c r="C408" s="2">
        <v>0</v>
      </c>
      <c r="D408" s="2">
        <v>1</v>
      </c>
      <c r="E408" s="47"/>
    </row>
    <row r="409" spans="1:5" x14ac:dyDescent="0.25">
      <c r="A409" s="2">
        <v>408</v>
      </c>
      <c r="B409" s="3">
        <v>2.61</v>
      </c>
      <c r="C409" s="2">
        <v>0</v>
      </c>
      <c r="D409" s="2">
        <v>0</v>
      </c>
      <c r="E409" s="47"/>
    </row>
    <row r="410" spans="1:5" x14ac:dyDescent="0.25">
      <c r="A410" s="2">
        <v>409</v>
      </c>
      <c r="B410" s="3">
        <v>3.42</v>
      </c>
      <c r="C410" s="2">
        <v>0</v>
      </c>
      <c r="D410" s="2">
        <v>0</v>
      </c>
      <c r="E410" s="47"/>
    </row>
    <row r="411" spans="1:5" x14ac:dyDescent="0.25">
      <c r="A411" s="2">
        <v>410</v>
      </c>
      <c r="B411" s="3">
        <v>2.17</v>
      </c>
      <c r="C411" s="2">
        <v>0</v>
      </c>
      <c r="D411" s="2">
        <v>0</v>
      </c>
      <c r="E411" s="47"/>
    </row>
    <row r="412" spans="1:5" x14ac:dyDescent="0.25">
      <c r="A412" s="2">
        <v>411</v>
      </c>
      <c r="B412" s="3">
        <v>3.53</v>
      </c>
      <c r="C412" s="2">
        <v>1</v>
      </c>
      <c r="D412" s="2">
        <v>0</v>
      </c>
      <c r="E412" s="47"/>
    </row>
    <row r="413" spans="1:5" x14ac:dyDescent="0.25">
      <c r="A413" s="2">
        <v>412</v>
      </c>
      <c r="B413" s="3">
        <v>3.47</v>
      </c>
      <c r="C413" s="2">
        <v>0</v>
      </c>
      <c r="D413" s="2">
        <v>0</v>
      </c>
      <c r="E413" s="47"/>
    </row>
    <row r="414" spans="1:5" x14ac:dyDescent="0.25">
      <c r="A414" s="2">
        <v>413</v>
      </c>
      <c r="B414" s="3">
        <v>2.4900000000000002</v>
      </c>
      <c r="C414" s="2">
        <v>0</v>
      </c>
      <c r="D414" s="2">
        <v>0</v>
      </c>
      <c r="E414" s="47"/>
    </row>
    <row r="415" spans="1:5" x14ac:dyDescent="0.25">
      <c r="A415" s="2">
        <v>414</v>
      </c>
      <c r="B415" s="3">
        <v>2.62</v>
      </c>
      <c r="C415" s="2">
        <v>0</v>
      </c>
      <c r="D415" s="2">
        <v>1</v>
      </c>
      <c r="E415" s="47"/>
    </row>
    <row r="416" spans="1:5" x14ac:dyDescent="0.25">
      <c r="A416" s="2">
        <v>415</v>
      </c>
      <c r="B416" s="3">
        <v>2.27</v>
      </c>
      <c r="C416" s="2">
        <v>0</v>
      </c>
      <c r="D416" s="2">
        <v>0</v>
      </c>
      <c r="E416" s="47"/>
    </row>
    <row r="417" spans="1:5" x14ac:dyDescent="0.25">
      <c r="A417" s="2">
        <v>416</v>
      </c>
      <c r="B417" s="3">
        <v>2.64</v>
      </c>
      <c r="C417" s="2">
        <v>0</v>
      </c>
      <c r="D417" s="2">
        <v>0</v>
      </c>
      <c r="E417" s="47"/>
    </row>
    <row r="418" spans="1:5" x14ac:dyDescent="0.25">
      <c r="A418" s="2">
        <v>417</v>
      </c>
      <c r="B418" s="3">
        <v>3.03</v>
      </c>
      <c r="C418" s="2">
        <v>0</v>
      </c>
      <c r="D418" s="2">
        <v>0</v>
      </c>
      <c r="E418" s="47"/>
    </row>
    <row r="419" spans="1:5" x14ac:dyDescent="0.25">
      <c r="A419" s="2">
        <v>418</v>
      </c>
      <c r="B419" s="3">
        <v>2.5999999999999996</v>
      </c>
      <c r="C419" s="2">
        <v>1</v>
      </c>
      <c r="D419" s="2">
        <v>1</v>
      </c>
      <c r="E419" s="47"/>
    </row>
    <row r="420" spans="1:5" x14ac:dyDescent="0.25">
      <c r="A420" s="2">
        <v>419</v>
      </c>
      <c r="B420" s="3">
        <v>2.39</v>
      </c>
      <c r="C420" s="2">
        <v>0</v>
      </c>
      <c r="D420" s="2">
        <v>0</v>
      </c>
      <c r="E420" s="47"/>
    </row>
    <row r="421" spans="1:5" x14ac:dyDescent="0.25">
      <c r="A421" s="2">
        <v>420</v>
      </c>
      <c r="B421" s="3">
        <v>2.31</v>
      </c>
      <c r="C421" s="2">
        <v>0</v>
      </c>
      <c r="D421" s="2">
        <v>0</v>
      </c>
      <c r="E421" s="47"/>
    </row>
    <row r="422" spans="1:5" x14ac:dyDescent="0.25">
      <c r="A422" s="2">
        <v>421</v>
      </c>
      <c r="B422" s="3">
        <v>2.62</v>
      </c>
      <c r="C422" s="2">
        <v>1</v>
      </c>
      <c r="D422" s="2">
        <v>0</v>
      </c>
      <c r="E422" s="47"/>
    </row>
    <row r="423" spans="1:5" x14ac:dyDescent="0.25">
      <c r="A423" s="2">
        <v>422</v>
      </c>
      <c r="B423" s="3">
        <v>2.86</v>
      </c>
      <c r="C423" s="2">
        <v>1</v>
      </c>
      <c r="D423" s="2">
        <v>1</v>
      </c>
      <c r="E423" s="47"/>
    </row>
    <row r="424" spans="1:5" x14ac:dyDescent="0.25">
      <c r="A424" s="2">
        <v>423</v>
      </c>
      <c r="B424" s="3">
        <v>2.65</v>
      </c>
      <c r="C424" s="2">
        <v>0</v>
      </c>
      <c r="D424" s="2">
        <v>0</v>
      </c>
      <c r="E424" s="47"/>
    </row>
    <row r="425" spans="1:5" x14ac:dyDescent="0.25">
      <c r="A425" s="2">
        <v>424</v>
      </c>
      <c r="B425" s="3">
        <v>2.13</v>
      </c>
      <c r="C425" s="2">
        <v>0</v>
      </c>
      <c r="D425" s="2">
        <v>0</v>
      </c>
      <c r="E425" s="47"/>
    </row>
    <row r="426" spans="1:5" x14ac:dyDescent="0.25">
      <c r="A426" s="2">
        <v>425</v>
      </c>
      <c r="B426" s="3">
        <v>2.97</v>
      </c>
      <c r="C426" s="2">
        <v>1</v>
      </c>
      <c r="D426" s="2">
        <v>0</v>
      </c>
      <c r="E426" s="47"/>
    </row>
    <row r="427" spans="1:5" x14ac:dyDescent="0.25">
      <c r="A427" s="2">
        <v>426</v>
      </c>
      <c r="B427" s="3">
        <v>3.05</v>
      </c>
      <c r="C427" s="2">
        <v>0</v>
      </c>
      <c r="D427" s="2">
        <v>0</v>
      </c>
      <c r="E427" s="47"/>
    </row>
    <row r="428" spans="1:5" x14ac:dyDescent="0.25">
      <c r="A428" s="2">
        <v>427</v>
      </c>
      <c r="B428" s="3">
        <v>3</v>
      </c>
      <c r="C428" s="2">
        <v>0</v>
      </c>
      <c r="D428" s="2">
        <v>0</v>
      </c>
      <c r="E428" s="47"/>
    </row>
    <row r="429" spans="1:5" x14ac:dyDescent="0.25">
      <c r="A429" s="2">
        <v>428</v>
      </c>
      <c r="B429" s="3">
        <v>3.32</v>
      </c>
      <c r="C429" s="2">
        <v>0</v>
      </c>
      <c r="D429" s="2">
        <v>0</v>
      </c>
      <c r="E429" s="47"/>
    </row>
    <row r="430" spans="1:5" x14ac:dyDescent="0.25">
      <c r="A430" s="2">
        <v>429</v>
      </c>
      <c r="B430" s="3">
        <v>2.48</v>
      </c>
      <c r="C430" s="2">
        <v>0</v>
      </c>
      <c r="D430" s="2">
        <v>0</v>
      </c>
      <c r="E430" s="47"/>
    </row>
    <row r="431" spans="1:5" x14ac:dyDescent="0.25">
      <c r="A431" s="2">
        <v>430</v>
      </c>
      <c r="B431" s="3">
        <v>3.14</v>
      </c>
      <c r="C431" s="2">
        <v>1</v>
      </c>
      <c r="D431" s="2">
        <v>0</v>
      </c>
      <c r="E431" s="47"/>
    </row>
    <row r="432" spans="1:5" x14ac:dyDescent="0.25">
      <c r="A432" s="2">
        <v>431</v>
      </c>
      <c r="B432" s="3">
        <v>3.65</v>
      </c>
      <c r="C432" s="2">
        <v>1</v>
      </c>
      <c r="D432" s="2">
        <v>0</v>
      </c>
      <c r="E432" s="47"/>
    </row>
    <row r="433" spans="1:5" x14ac:dyDescent="0.25">
      <c r="A433" s="2">
        <v>432</v>
      </c>
      <c r="B433" s="3">
        <v>2.0099999999999998</v>
      </c>
      <c r="C433" s="2">
        <v>0</v>
      </c>
      <c r="D433" s="2">
        <v>0</v>
      </c>
      <c r="E433" s="47"/>
    </row>
    <row r="434" spans="1:5" x14ac:dyDescent="0.25">
      <c r="A434" s="2">
        <v>433</v>
      </c>
      <c r="B434" s="3">
        <v>3.67</v>
      </c>
      <c r="C434" s="2">
        <v>1</v>
      </c>
      <c r="D434" s="2">
        <v>0</v>
      </c>
      <c r="E434" s="47"/>
    </row>
    <row r="435" spans="1:5" x14ac:dyDescent="0.25">
      <c r="A435" s="2">
        <v>434</v>
      </c>
      <c r="B435" s="3">
        <v>2.3199999999999998</v>
      </c>
      <c r="C435" s="2">
        <v>0</v>
      </c>
      <c r="D435" s="2">
        <v>0</v>
      </c>
      <c r="E435" s="47"/>
    </row>
    <row r="436" spans="1:5" x14ac:dyDescent="0.25">
      <c r="A436" s="2">
        <v>435</v>
      </c>
      <c r="B436" s="3">
        <v>3.75</v>
      </c>
      <c r="C436" s="2">
        <v>1</v>
      </c>
      <c r="D436" s="2">
        <v>0</v>
      </c>
      <c r="E436" s="47"/>
    </row>
    <row r="437" spans="1:5" x14ac:dyDescent="0.25">
      <c r="A437" s="2">
        <v>436</v>
      </c>
      <c r="B437" s="3">
        <v>2.94</v>
      </c>
      <c r="C437" s="2">
        <v>1</v>
      </c>
      <c r="D437" s="2">
        <v>1</v>
      </c>
      <c r="E437" s="47"/>
    </row>
    <row r="438" spans="1:5" x14ac:dyDescent="0.25">
      <c r="A438" s="2">
        <v>437</v>
      </c>
      <c r="B438" s="3">
        <v>3.42</v>
      </c>
      <c r="C438" s="2">
        <v>0</v>
      </c>
      <c r="D438" s="2">
        <v>0</v>
      </c>
      <c r="E438" s="47"/>
    </row>
    <row r="439" spans="1:5" x14ac:dyDescent="0.25">
      <c r="A439" s="2">
        <v>438</v>
      </c>
      <c r="B439" s="3">
        <v>3.67</v>
      </c>
      <c r="C439" s="2">
        <v>1</v>
      </c>
      <c r="D439" s="2">
        <v>0</v>
      </c>
      <c r="E439" s="47"/>
    </row>
    <row r="440" spans="1:5" x14ac:dyDescent="0.25">
      <c r="A440" s="2">
        <v>439</v>
      </c>
      <c r="B440" s="3">
        <v>2.4</v>
      </c>
      <c r="C440" s="2">
        <v>0</v>
      </c>
      <c r="D440" s="2">
        <v>0</v>
      </c>
      <c r="E440" s="47"/>
    </row>
    <row r="441" spans="1:5" x14ac:dyDescent="0.25">
      <c r="A441" s="2">
        <v>440</v>
      </c>
      <c r="B441" s="3">
        <v>3.09</v>
      </c>
      <c r="C441" s="2">
        <v>0</v>
      </c>
      <c r="D441" s="2">
        <v>0</v>
      </c>
      <c r="E441" s="47"/>
    </row>
    <row r="442" spans="1:5" x14ac:dyDescent="0.25">
      <c r="A442" s="2">
        <v>441</v>
      </c>
      <c r="B442" s="3">
        <v>3.87</v>
      </c>
      <c r="C442" s="2">
        <v>1</v>
      </c>
      <c r="D442" s="2">
        <v>0</v>
      </c>
      <c r="E442" s="47"/>
    </row>
    <row r="443" spans="1:5" x14ac:dyDescent="0.25">
      <c r="A443" s="2">
        <v>442</v>
      </c>
      <c r="B443" s="3">
        <v>2.71</v>
      </c>
      <c r="C443" s="2">
        <v>1</v>
      </c>
      <c r="D443" s="2">
        <v>1</v>
      </c>
      <c r="E443" s="47"/>
    </row>
    <row r="444" spans="1:5" x14ac:dyDescent="0.25">
      <c r="A444" s="2">
        <v>443</v>
      </c>
      <c r="B444" s="3">
        <v>2.71</v>
      </c>
      <c r="C444" s="2">
        <v>0</v>
      </c>
      <c r="D444" s="2">
        <v>0</v>
      </c>
      <c r="E444" s="47"/>
    </row>
    <row r="445" spans="1:5" x14ac:dyDescent="0.25">
      <c r="A445" s="2">
        <v>444</v>
      </c>
      <c r="B445" s="3">
        <v>3.9</v>
      </c>
      <c r="C445" s="2">
        <v>1</v>
      </c>
      <c r="D445" s="2">
        <v>0</v>
      </c>
      <c r="E445" s="47"/>
    </row>
    <row r="446" spans="1:5" x14ac:dyDescent="0.25">
      <c r="A446" s="2">
        <v>445</v>
      </c>
      <c r="B446" s="3">
        <v>2.79</v>
      </c>
      <c r="C446" s="2">
        <v>0</v>
      </c>
      <c r="D446" s="2">
        <v>0</v>
      </c>
      <c r="E446" s="47"/>
    </row>
    <row r="447" spans="1:5" x14ac:dyDescent="0.25">
      <c r="A447" s="2">
        <v>446</v>
      </c>
      <c r="B447" s="3">
        <v>2.19</v>
      </c>
      <c r="C447" s="2">
        <v>0</v>
      </c>
      <c r="D447" s="2">
        <v>0</v>
      </c>
      <c r="E447" s="47"/>
    </row>
    <row r="448" spans="1:5" x14ac:dyDescent="0.25">
      <c r="A448" s="2">
        <v>447</v>
      </c>
      <c r="B448" s="3">
        <v>3.36</v>
      </c>
      <c r="C448" s="2">
        <v>0</v>
      </c>
      <c r="D448" s="2">
        <v>0</v>
      </c>
      <c r="E448" s="47"/>
    </row>
    <row r="449" spans="1:5" x14ac:dyDescent="0.25">
      <c r="A449" s="2">
        <v>448</v>
      </c>
      <c r="B449" s="3">
        <v>3.01</v>
      </c>
      <c r="C449" s="2">
        <v>1</v>
      </c>
      <c r="D449" s="2">
        <v>0</v>
      </c>
      <c r="E449" s="47"/>
    </row>
    <row r="450" spans="1:5" x14ac:dyDescent="0.25">
      <c r="A450" s="2">
        <v>449</v>
      </c>
      <c r="B450" s="3">
        <v>3.29</v>
      </c>
      <c r="C450" s="2">
        <v>0</v>
      </c>
      <c r="D450" s="2">
        <v>0</v>
      </c>
      <c r="E450" s="47"/>
    </row>
    <row r="451" spans="1:5" x14ac:dyDescent="0.25">
      <c r="A451" s="2">
        <v>450</v>
      </c>
      <c r="B451" s="3">
        <v>2.16</v>
      </c>
      <c r="C451" s="2">
        <v>0</v>
      </c>
      <c r="D451" s="2">
        <v>0</v>
      </c>
      <c r="E451" s="47"/>
    </row>
    <row r="452" spans="1:5" x14ac:dyDescent="0.25">
      <c r="A452" s="2">
        <v>451</v>
      </c>
      <c r="B452" s="3">
        <v>2.41</v>
      </c>
      <c r="C452" s="2">
        <v>0</v>
      </c>
      <c r="D452" s="2">
        <v>0</v>
      </c>
      <c r="E452" s="47"/>
    </row>
    <row r="453" spans="1:5" x14ac:dyDescent="0.25">
      <c r="A453" s="2">
        <v>452</v>
      </c>
      <c r="B453" s="3">
        <v>3.46</v>
      </c>
      <c r="C453" s="2">
        <v>0</v>
      </c>
      <c r="D453" s="2">
        <v>0</v>
      </c>
      <c r="E453" s="47"/>
    </row>
    <row r="454" spans="1:5" x14ac:dyDescent="0.25">
      <c r="A454" s="2">
        <v>453</v>
      </c>
      <c r="B454" s="3">
        <v>2.58</v>
      </c>
      <c r="C454" s="2">
        <v>1</v>
      </c>
      <c r="D454" s="2">
        <v>0</v>
      </c>
      <c r="E454" s="47"/>
    </row>
    <row r="455" spans="1:5" x14ac:dyDescent="0.25">
      <c r="A455" s="2">
        <v>454</v>
      </c>
      <c r="B455" s="3">
        <v>2.48</v>
      </c>
      <c r="C455" s="2">
        <v>0</v>
      </c>
      <c r="D455" s="2">
        <v>0</v>
      </c>
      <c r="E455" s="47"/>
    </row>
    <row r="456" spans="1:5" x14ac:dyDescent="0.25">
      <c r="A456" s="2">
        <v>455</v>
      </c>
      <c r="B456" s="3">
        <v>2.64</v>
      </c>
      <c r="C456" s="2">
        <v>1</v>
      </c>
      <c r="D456" s="2">
        <v>0</v>
      </c>
      <c r="E456" s="47"/>
    </row>
    <row r="457" spans="1:5" x14ac:dyDescent="0.25">
      <c r="A457" s="2">
        <v>456</v>
      </c>
      <c r="B457" s="3">
        <v>3.17</v>
      </c>
      <c r="C457" s="2">
        <v>0</v>
      </c>
      <c r="D457" s="2">
        <v>0</v>
      </c>
      <c r="E457" s="47"/>
    </row>
    <row r="458" spans="1:5" x14ac:dyDescent="0.25">
      <c r="A458" s="2">
        <v>457</v>
      </c>
      <c r="B458" s="3">
        <v>3.26</v>
      </c>
      <c r="C458" s="2">
        <v>0</v>
      </c>
      <c r="D458" s="2">
        <v>0</v>
      </c>
      <c r="E458" s="47"/>
    </row>
    <row r="459" spans="1:5" x14ac:dyDescent="0.25">
      <c r="A459" s="2">
        <v>458</v>
      </c>
      <c r="B459" s="3">
        <v>2.67</v>
      </c>
      <c r="C459" s="2">
        <v>0</v>
      </c>
      <c r="D459" s="2">
        <v>0</v>
      </c>
      <c r="E459" s="47"/>
    </row>
    <row r="460" spans="1:5" x14ac:dyDescent="0.25">
      <c r="A460" s="2">
        <v>459</v>
      </c>
      <c r="B460" s="3">
        <v>3.91</v>
      </c>
      <c r="C460" s="2">
        <v>1</v>
      </c>
      <c r="D460" s="2">
        <v>0</v>
      </c>
      <c r="E460" s="47"/>
    </row>
    <row r="461" spans="1:5" x14ac:dyDescent="0.25">
      <c r="A461" s="2">
        <v>460</v>
      </c>
      <c r="B461" s="3">
        <v>3.08</v>
      </c>
      <c r="C461" s="2">
        <v>1</v>
      </c>
      <c r="D461" s="2">
        <v>0</v>
      </c>
      <c r="E461" s="47"/>
    </row>
    <row r="462" spans="1:5" x14ac:dyDescent="0.25">
      <c r="A462" s="2">
        <v>461</v>
      </c>
      <c r="B462" s="3">
        <v>2.61</v>
      </c>
      <c r="C462" s="2">
        <v>0</v>
      </c>
      <c r="D462" s="2">
        <v>0</v>
      </c>
      <c r="E462" s="47"/>
    </row>
    <row r="463" spans="1:5" x14ac:dyDescent="0.25">
      <c r="A463" s="2">
        <v>462</v>
      </c>
      <c r="B463" s="3">
        <v>2.59</v>
      </c>
      <c r="C463" s="2">
        <v>0</v>
      </c>
      <c r="D463" s="2">
        <v>0</v>
      </c>
      <c r="E463" s="47"/>
    </row>
    <row r="464" spans="1:5" x14ac:dyDescent="0.25">
      <c r="A464" s="2">
        <v>463</v>
      </c>
      <c r="B464" s="3">
        <v>2.81</v>
      </c>
      <c r="C464" s="2">
        <v>0</v>
      </c>
      <c r="D464" s="2">
        <v>0</v>
      </c>
      <c r="E464" s="47"/>
    </row>
    <row r="465" spans="1:5" x14ac:dyDescent="0.25">
      <c r="A465" s="2">
        <v>464</v>
      </c>
      <c r="B465" s="3">
        <v>2.16</v>
      </c>
      <c r="C465" s="2">
        <v>0</v>
      </c>
      <c r="D465" s="2">
        <v>0</v>
      </c>
      <c r="E465" s="47"/>
    </row>
    <row r="466" spans="1:5" x14ac:dyDescent="0.25">
      <c r="A466" s="2">
        <v>465</v>
      </c>
      <c r="B466" s="3">
        <v>3.48</v>
      </c>
      <c r="C466" s="2">
        <v>0</v>
      </c>
      <c r="D466" s="2">
        <v>0</v>
      </c>
      <c r="E466" s="47"/>
    </row>
    <row r="467" spans="1:5" x14ac:dyDescent="0.25">
      <c r="A467" s="2">
        <v>466</v>
      </c>
      <c r="B467" s="3">
        <v>2.94</v>
      </c>
      <c r="C467" s="2">
        <v>0</v>
      </c>
      <c r="D467" s="2">
        <v>0</v>
      </c>
      <c r="E467" s="47"/>
    </row>
    <row r="468" spans="1:5" x14ac:dyDescent="0.25">
      <c r="A468" s="2">
        <v>467</v>
      </c>
      <c r="B468" s="3">
        <v>3.01</v>
      </c>
      <c r="C468" s="2">
        <v>0</v>
      </c>
      <c r="D468" s="2">
        <v>0</v>
      </c>
      <c r="E468" s="47"/>
    </row>
    <row r="469" spans="1:5" x14ac:dyDescent="0.25">
      <c r="A469" s="2">
        <v>468</v>
      </c>
      <c r="B469" s="3">
        <v>2.82</v>
      </c>
      <c r="C469" s="2">
        <v>0</v>
      </c>
      <c r="D469" s="2">
        <v>0</v>
      </c>
      <c r="E469" s="47"/>
    </row>
    <row r="470" spans="1:5" x14ac:dyDescent="0.25">
      <c r="A470" s="2">
        <v>469</v>
      </c>
      <c r="B470" s="3">
        <v>2.8</v>
      </c>
      <c r="C470" s="2">
        <v>0</v>
      </c>
      <c r="D470" s="2">
        <v>1</v>
      </c>
      <c r="E470" s="47"/>
    </row>
    <row r="471" spans="1:5" x14ac:dyDescent="0.25">
      <c r="A471" s="2">
        <v>470</v>
      </c>
      <c r="B471" s="3">
        <v>2.83</v>
      </c>
      <c r="C471" s="2">
        <v>0</v>
      </c>
      <c r="D471" s="2">
        <v>0</v>
      </c>
      <c r="E471" s="47"/>
    </row>
    <row r="472" spans="1:5" x14ac:dyDescent="0.25">
      <c r="A472" s="2">
        <v>471</v>
      </c>
      <c r="B472" s="3">
        <v>2.42</v>
      </c>
      <c r="C472" s="2">
        <v>0</v>
      </c>
      <c r="D472" s="2">
        <v>0</v>
      </c>
      <c r="E472" s="47"/>
    </row>
    <row r="473" spans="1:5" x14ac:dyDescent="0.25">
      <c r="A473" s="2">
        <v>472</v>
      </c>
      <c r="B473" s="3">
        <v>2.72</v>
      </c>
      <c r="C473" s="2">
        <v>0</v>
      </c>
      <c r="D473" s="2">
        <v>0</v>
      </c>
      <c r="E473" s="47"/>
    </row>
    <row r="474" spans="1:5" x14ac:dyDescent="0.25">
      <c r="A474" s="2">
        <v>473</v>
      </c>
      <c r="B474" s="3">
        <v>2.93</v>
      </c>
      <c r="C474" s="2">
        <v>0</v>
      </c>
      <c r="D474" s="2">
        <v>0</v>
      </c>
      <c r="E474" s="47"/>
    </row>
    <row r="475" spans="1:5" x14ac:dyDescent="0.25">
      <c r="A475" s="2">
        <v>474</v>
      </c>
      <c r="B475" s="3">
        <v>2.92</v>
      </c>
      <c r="C475" s="2">
        <v>0</v>
      </c>
      <c r="D475" s="2">
        <v>1</v>
      </c>
      <c r="E475" s="47"/>
    </row>
    <row r="476" spans="1:5" x14ac:dyDescent="0.25">
      <c r="A476" s="2">
        <v>475</v>
      </c>
      <c r="B476" s="3">
        <v>3.41</v>
      </c>
      <c r="C476" s="2">
        <v>0</v>
      </c>
      <c r="D476" s="2">
        <v>0</v>
      </c>
      <c r="E476" s="47"/>
    </row>
    <row r="477" spans="1:5" x14ac:dyDescent="0.25">
      <c r="A477" s="2">
        <v>476</v>
      </c>
      <c r="B477" s="3">
        <v>2.74</v>
      </c>
      <c r="C477" s="2">
        <v>0</v>
      </c>
      <c r="D477" s="2">
        <v>0</v>
      </c>
      <c r="E477" s="47"/>
    </row>
    <row r="478" spans="1:5" x14ac:dyDescent="0.25">
      <c r="A478" s="2">
        <v>477</v>
      </c>
      <c r="B478" s="3">
        <v>3.64</v>
      </c>
      <c r="C478" s="2">
        <v>1</v>
      </c>
      <c r="D478" s="2">
        <v>0</v>
      </c>
      <c r="E478" s="47"/>
    </row>
    <row r="479" spans="1:5" x14ac:dyDescent="0.25">
      <c r="A479" s="2">
        <v>478</v>
      </c>
      <c r="B479" s="3">
        <v>2.73</v>
      </c>
      <c r="C479" s="2">
        <v>0</v>
      </c>
      <c r="D479" s="2">
        <v>0</v>
      </c>
      <c r="E479" s="47"/>
    </row>
    <row r="480" spans="1:5" x14ac:dyDescent="0.25">
      <c r="A480" s="2">
        <v>479</v>
      </c>
      <c r="B480" s="3">
        <v>3.06</v>
      </c>
      <c r="C480" s="2">
        <v>1</v>
      </c>
      <c r="D480" s="2">
        <v>0</v>
      </c>
      <c r="E480" s="47"/>
    </row>
    <row r="481" spans="1:5" x14ac:dyDescent="0.25">
      <c r="A481" s="2">
        <v>480</v>
      </c>
      <c r="B481" s="3">
        <v>2.69</v>
      </c>
      <c r="C481" s="2">
        <v>0</v>
      </c>
      <c r="D481" s="2">
        <v>0</v>
      </c>
      <c r="E481" s="47"/>
    </row>
    <row r="482" spans="1:5" x14ac:dyDescent="0.25">
      <c r="A482" s="2">
        <v>481</v>
      </c>
      <c r="B482" s="3">
        <v>3.03</v>
      </c>
      <c r="C482" s="2">
        <v>0</v>
      </c>
      <c r="D482" s="2">
        <v>0</v>
      </c>
      <c r="E482" s="47"/>
    </row>
    <row r="483" spans="1:5" x14ac:dyDescent="0.25">
      <c r="A483" s="2">
        <v>482</v>
      </c>
      <c r="B483" s="3">
        <v>2.2799999999999998</v>
      </c>
      <c r="C483" s="2">
        <v>0</v>
      </c>
      <c r="D483" s="2">
        <v>0</v>
      </c>
      <c r="E483" s="47"/>
    </row>
    <row r="484" spans="1:5" x14ac:dyDescent="0.25">
      <c r="A484" s="2">
        <v>483</v>
      </c>
      <c r="B484" s="3">
        <v>2.0299999999999998</v>
      </c>
      <c r="C484" s="2">
        <v>0</v>
      </c>
      <c r="D484" s="2">
        <v>0</v>
      </c>
      <c r="E484" s="47"/>
    </row>
    <row r="485" spans="1:5" x14ac:dyDescent="0.25">
      <c r="A485" s="2">
        <v>484</v>
      </c>
      <c r="B485" s="3">
        <v>2.36</v>
      </c>
      <c r="C485" s="2">
        <v>0</v>
      </c>
      <c r="D485" s="2">
        <v>0</v>
      </c>
      <c r="E485" s="47"/>
    </row>
    <row r="486" spans="1:5" x14ac:dyDescent="0.25">
      <c r="A486" s="2">
        <v>485</v>
      </c>
      <c r="B486" s="3">
        <v>2.72</v>
      </c>
      <c r="C486" s="2">
        <v>1</v>
      </c>
      <c r="D486" s="2">
        <v>0</v>
      </c>
      <c r="E486" s="47"/>
    </row>
    <row r="487" spans="1:5" x14ac:dyDescent="0.25">
      <c r="A487" s="2">
        <v>486</v>
      </c>
      <c r="B487" s="3">
        <v>2.66</v>
      </c>
      <c r="C487" s="2">
        <v>0</v>
      </c>
      <c r="D487" s="2">
        <v>0</v>
      </c>
      <c r="E487" s="47"/>
    </row>
    <row r="488" spans="1:5" x14ac:dyDescent="0.25">
      <c r="A488" s="2">
        <v>487</v>
      </c>
      <c r="B488" s="3">
        <v>2.68</v>
      </c>
      <c r="C488" s="2">
        <v>1</v>
      </c>
      <c r="D488" s="2">
        <v>0</v>
      </c>
      <c r="E488" s="47"/>
    </row>
    <row r="489" spans="1:5" x14ac:dyDescent="0.25">
      <c r="A489" s="2">
        <v>488</v>
      </c>
      <c r="B489" s="3">
        <v>2.85</v>
      </c>
      <c r="C489" s="2">
        <v>0</v>
      </c>
      <c r="D489" s="2">
        <v>0</v>
      </c>
      <c r="E489" s="47"/>
    </row>
    <row r="490" spans="1:5" x14ac:dyDescent="0.25">
      <c r="A490" s="2">
        <v>489</v>
      </c>
      <c r="B490" s="3">
        <v>3.14</v>
      </c>
      <c r="C490" s="2">
        <v>1</v>
      </c>
      <c r="D490" s="2">
        <v>0</v>
      </c>
      <c r="E490" s="47"/>
    </row>
    <row r="491" spans="1:5" x14ac:dyDescent="0.25">
      <c r="A491" s="2">
        <v>490</v>
      </c>
      <c r="B491" s="3">
        <v>2.63</v>
      </c>
      <c r="C491" s="2">
        <v>0</v>
      </c>
      <c r="D491" s="2">
        <v>0</v>
      </c>
      <c r="E491" s="47"/>
    </row>
    <row r="492" spans="1:5" x14ac:dyDescent="0.25">
      <c r="A492" s="2">
        <v>491</v>
      </c>
      <c r="B492" s="3">
        <v>3.42</v>
      </c>
      <c r="C492" s="2">
        <v>0</v>
      </c>
      <c r="D492" s="2">
        <v>0</v>
      </c>
      <c r="E492" s="47"/>
    </row>
    <row r="493" spans="1:5" x14ac:dyDescent="0.25">
      <c r="A493" s="2">
        <v>492</v>
      </c>
      <c r="B493" s="3">
        <v>2.67</v>
      </c>
      <c r="C493" s="2">
        <v>0</v>
      </c>
      <c r="D493" s="2">
        <v>0</v>
      </c>
      <c r="E493" s="47"/>
    </row>
    <row r="494" spans="1:5" x14ac:dyDescent="0.25">
      <c r="A494" s="2">
        <v>493</v>
      </c>
      <c r="B494" s="3">
        <v>3.85</v>
      </c>
      <c r="C494" s="2">
        <v>0</v>
      </c>
      <c r="D494" s="2">
        <v>0</v>
      </c>
      <c r="E494" s="47"/>
    </row>
    <row r="495" spans="1:5" x14ac:dyDescent="0.25">
      <c r="A495" s="2">
        <v>494</v>
      </c>
      <c r="B495" s="3">
        <v>2.16</v>
      </c>
      <c r="C495" s="2">
        <v>0</v>
      </c>
      <c r="D495" s="2">
        <v>0</v>
      </c>
      <c r="E495" s="47"/>
    </row>
    <row r="496" spans="1:5" x14ac:dyDescent="0.25">
      <c r="A496" s="2">
        <v>495</v>
      </c>
      <c r="B496" s="3">
        <v>2.88</v>
      </c>
      <c r="C496" s="2">
        <v>0</v>
      </c>
      <c r="D496" s="2">
        <v>0</v>
      </c>
      <c r="E496" s="47"/>
    </row>
    <row r="497" spans="1:5" x14ac:dyDescent="0.25">
      <c r="A497" s="2">
        <v>496</v>
      </c>
      <c r="B497" s="3">
        <v>2.1</v>
      </c>
      <c r="C497" s="2">
        <v>0</v>
      </c>
      <c r="D497" s="2">
        <v>0</v>
      </c>
      <c r="E497" s="47"/>
    </row>
    <row r="498" spans="1:5" x14ac:dyDescent="0.25">
      <c r="A498" s="2">
        <v>497</v>
      </c>
      <c r="B498" s="3">
        <v>3.03</v>
      </c>
      <c r="C498" s="2">
        <v>0</v>
      </c>
      <c r="D498" s="2">
        <v>0</v>
      </c>
      <c r="E498" s="47"/>
    </row>
    <row r="499" spans="1:5" x14ac:dyDescent="0.25">
      <c r="A499" s="2">
        <v>498</v>
      </c>
      <c r="B499" s="3">
        <v>2.94</v>
      </c>
      <c r="C499" s="2">
        <v>0</v>
      </c>
      <c r="D499" s="2">
        <v>0</v>
      </c>
      <c r="E499" s="47"/>
    </row>
    <row r="500" spans="1:5" x14ac:dyDescent="0.25">
      <c r="A500" s="2">
        <v>499</v>
      </c>
      <c r="B500" s="3">
        <v>2.89</v>
      </c>
      <c r="C500" s="2">
        <v>1</v>
      </c>
      <c r="D500" s="2">
        <v>0</v>
      </c>
      <c r="E500" s="47"/>
    </row>
    <row r="501" spans="1:5" x14ac:dyDescent="0.25">
      <c r="A501" s="2">
        <v>500</v>
      </c>
      <c r="B501" s="3">
        <v>3.62</v>
      </c>
      <c r="C501" s="2">
        <v>1</v>
      </c>
      <c r="D501" s="2">
        <v>0</v>
      </c>
      <c r="E501" s="47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workbookViewId="0"/>
  </sheetViews>
  <sheetFormatPr defaultRowHeight="15.75" x14ac:dyDescent="0.25"/>
  <cols>
    <col min="1" max="1" width="21" bestFit="1" customWidth="1"/>
    <col min="2" max="2" width="16.75" bestFit="1" customWidth="1"/>
  </cols>
  <sheetData>
    <row r="1" spans="1:13" x14ac:dyDescent="0.25">
      <c r="M1" t="s">
        <v>167</v>
      </c>
    </row>
    <row r="2" spans="1:13" x14ac:dyDescent="0.25">
      <c r="A2" s="9" t="s">
        <v>24</v>
      </c>
      <c r="B2" s="7" t="s">
        <v>25</v>
      </c>
    </row>
    <row r="3" spans="1:13" x14ac:dyDescent="0.25">
      <c r="A3" s="9" t="s">
        <v>26</v>
      </c>
      <c r="B3" s="7" t="b">
        <v>1</v>
      </c>
    </row>
    <row r="4" spans="1:13" x14ac:dyDescent="0.25">
      <c r="A4" s="9" t="s">
        <v>27</v>
      </c>
      <c r="B4" s="7">
        <v>1</v>
      </c>
    </row>
    <row r="5" spans="1:13" x14ac:dyDescent="0.25">
      <c r="A5" s="9" t="s">
        <v>13</v>
      </c>
      <c r="B5" s="7" t="s">
        <v>160</v>
      </c>
      <c r="D5" s="7"/>
      <c r="E5" s="7" t="s">
        <v>0</v>
      </c>
      <c r="F5" s="7" t="s">
        <v>3</v>
      </c>
    </row>
    <row r="6" spans="1:13" x14ac:dyDescent="0.25">
      <c r="A6" s="9" t="s">
        <v>29</v>
      </c>
      <c r="B6" s="7" t="s">
        <v>161</v>
      </c>
      <c r="D6" s="7"/>
      <c r="E6" s="7">
        <v>0</v>
      </c>
      <c r="F6" s="7">
        <v>2</v>
      </c>
    </row>
    <row r="7" spans="1:13" x14ac:dyDescent="0.25">
      <c r="A7" s="9" t="s">
        <v>31</v>
      </c>
      <c r="B7" s="7" t="s">
        <v>162</v>
      </c>
      <c r="D7" s="7"/>
      <c r="E7" s="7" t="s">
        <v>33</v>
      </c>
      <c r="F7" s="7" t="s">
        <v>34</v>
      </c>
    </row>
    <row r="8" spans="1:13" x14ac:dyDescent="0.25">
      <c r="A8" s="9" t="s">
        <v>35</v>
      </c>
      <c r="B8" s="7" t="s">
        <v>163</v>
      </c>
      <c r="D8" s="7"/>
      <c r="E8" s="7" t="s">
        <v>37</v>
      </c>
      <c r="F8" s="7"/>
    </row>
    <row r="9" spans="1:13" x14ac:dyDescent="0.25">
      <c r="A9" s="9" t="s">
        <v>38</v>
      </c>
      <c r="B9" s="7" t="s">
        <v>164</v>
      </c>
      <c r="D9" s="7"/>
      <c r="E9" s="7" t="s">
        <v>0</v>
      </c>
      <c r="F9" s="7"/>
    </row>
    <row r="10" spans="1:13" x14ac:dyDescent="0.25">
      <c r="A10" s="9" t="s">
        <v>40</v>
      </c>
      <c r="B10" s="7" t="s">
        <v>41</v>
      </c>
      <c r="D10" s="7">
        <v>0.37510067161881622</v>
      </c>
      <c r="E10" s="7">
        <v>-0.63323048899064449</v>
      </c>
    </row>
    <row r="11" spans="1:13" x14ac:dyDescent="0.25">
      <c r="A11" s="9" t="s">
        <v>42</v>
      </c>
      <c r="B11" s="7">
        <v>1</v>
      </c>
      <c r="E11" s="7">
        <v>0</v>
      </c>
      <c r="F11" s="7">
        <v>1</v>
      </c>
    </row>
    <row r="12" spans="1:13" x14ac:dyDescent="0.25">
      <c r="A12" s="9" t="s">
        <v>43</v>
      </c>
      <c r="B12" s="7">
        <v>0.5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300"/>
  <sheetViews>
    <sheetView showGridLines="0" topLeftCell="A70" workbookViewId="0">
      <selection activeCell="B76" sqref="B76"/>
    </sheetView>
  </sheetViews>
  <sheetFormatPr defaultRowHeight="15.75" x14ac:dyDescent="0.25"/>
  <cols>
    <col min="3" max="3" width="12.75" customWidth="1"/>
    <col min="4" max="4" width="9.25" customWidth="1"/>
    <col min="6" max="6" width="11.875" bestFit="1" customWidth="1"/>
    <col min="7" max="7" width="11.75" customWidth="1"/>
    <col min="14" max="14" width="11.5" bestFit="1" customWidth="1"/>
  </cols>
  <sheetData>
    <row r="1" spans="2:60" ht="18.75" x14ac:dyDescent="0.3">
      <c r="B1" s="5" t="s">
        <v>72</v>
      </c>
      <c r="N1" t="s">
        <v>166</v>
      </c>
      <c r="AZ1" s="7">
        <v>0.11686970291532475</v>
      </c>
      <c r="BA1" s="7" t="str">
        <f>"0"</f>
        <v>0</v>
      </c>
      <c r="BB1" t="str">
        <f ca="1">IF((OFFSET($A$1, 1 - 1, 52 - 1)) &gt;= (OFFSET($A$1, 84 - 1, 7 - 1)), "1","0")</f>
        <v>0</v>
      </c>
      <c r="BC1">
        <f ca="1" xml:space="preserve"> IF( AND( OFFSET($A$1, 1 - 1, 53 - 1) = "1", OFFSET($A$1, 1 - 1, 54 - 1) = "1" ), 1, IF( AND( OFFSET($A$1, 1 - 1, 53 - 1) = "1", OFFSET($A$1, 1 - 1, 54 - 1) = "0" ), 2, IF( AND( OFFSET($A$1, 1 - 1, 53 - 1) = "0", OFFSET($A$1, 1 - 1, 54 - 1) = "1" ), 3, 4 ) ) )</f>
        <v>4</v>
      </c>
      <c r="BE1" s="7">
        <v>0.1934802426337725</v>
      </c>
      <c r="BF1" s="7" t="str">
        <f>"0"</f>
        <v>0</v>
      </c>
      <c r="BG1" t="str">
        <f ca="1">IF((OFFSET($A$1, 1 - 1, 57 - 1)) &gt;= (OFFSET($A$1, 108 - 1, 7 - 1)), "1","0")</f>
        <v>0</v>
      </c>
      <c r="BH1">
        <f ca="1" xml:space="preserve"> IF( AND( OFFSET($A$1, 1 - 1, 58 - 1) = "1", OFFSET($A$1, 1 - 1, 59 - 1) = "1" ), 1, IF( AND( OFFSET($A$1, 1 - 1, 58 - 1) = "1", OFFSET($A$1, 1 - 1, 59 - 1) = "0" ), 2, IF( AND( OFFSET($A$1, 1 - 1, 58 - 1) = "0", OFFSET($A$1, 1 - 1, 59 - 1) = "1" ), 3, 4 ) ) )</f>
        <v>4</v>
      </c>
    </row>
    <row r="2" spans="2:60" x14ac:dyDescent="0.25">
      <c r="AZ2" s="7">
        <v>0.15966211555772869</v>
      </c>
      <c r="BA2" s="7" t="str">
        <f>"0"</f>
        <v>0</v>
      </c>
      <c r="BB2" t="str">
        <f ca="1">IF((OFFSET($A$1, 2 - 1, 52 - 1)) &gt;= (OFFSET($A$1, 84 - 1, 7 - 1)), "1","0")</f>
        <v>0</v>
      </c>
      <c r="BC2">
        <f ca="1" xml:space="preserve"> IF( AND( OFFSET($A$1, 2 - 1, 53 - 1) = "1", OFFSET($A$1, 2 - 1, 54 - 1) = "1" ), 1, IF( AND( OFFSET($A$1, 2 - 1, 53 - 1) = "1", OFFSET($A$1, 2 - 1, 54 - 1) = "0" ), 2, IF( AND( OFFSET($A$1, 2 - 1, 53 - 1) = "0", OFFSET($A$1, 2 - 1, 54 - 1) = "1" ), 3, 4 ) ) )</f>
        <v>4</v>
      </c>
      <c r="BE2" s="7">
        <v>0.17456658991828952</v>
      </c>
      <c r="BF2" s="7" t="str">
        <f>"0"</f>
        <v>0</v>
      </c>
      <c r="BG2" t="str">
        <f ca="1">IF((OFFSET($A$1, 2 - 1, 57 - 1)) &gt;= (OFFSET($A$1, 108 - 1, 7 - 1)), "1","0")</f>
        <v>0</v>
      </c>
      <c r="BH2">
        <f ca="1" xml:space="preserve"> IF( AND( OFFSET($A$1, 2 - 1, 58 - 1) = "1", OFFSET($A$1, 2 - 1, 59 - 1) = "1" ), 1, IF( AND( OFFSET($A$1, 2 - 1, 58 - 1) = "1", OFFSET($A$1, 2 - 1, 59 - 1) = "0" ), 2, IF( AND( OFFSET($A$1, 2 - 1, 58 - 1) = "0", OFFSET($A$1, 2 - 1, 59 - 1) = "1" ), 3, 4 ) ) )</f>
        <v>4</v>
      </c>
    </row>
    <row r="3" spans="2:6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7">
        <v>0.20970350542611282</v>
      </c>
      <c r="BA3" s="7" t="str">
        <f>"1"</f>
        <v>1</v>
      </c>
      <c r="BB3" t="str">
        <f ca="1">IF((OFFSET($A$1, 3 - 1, 52 - 1)) &gt;= (OFFSET($A$1, 84 - 1, 7 - 1)), "1","0")</f>
        <v>0</v>
      </c>
      <c r="BC3">
        <f ca="1" xml:space="preserve"> IF( AND( OFFSET($A$1, 3 - 1, 53 - 1) = "1", OFFSET($A$1, 3 - 1, 54 - 1) = "1" ), 1, IF( AND( OFFSET($A$1, 3 - 1, 53 - 1) = "1", OFFSET($A$1, 3 - 1, 54 - 1) = "0" ), 2, IF( AND( OFFSET($A$1, 3 - 1, 53 - 1) = "0", OFFSET($A$1, 3 - 1, 54 - 1) = "1" ), 3, 4 ) ) )</f>
        <v>2</v>
      </c>
      <c r="BE3" s="7">
        <v>0.11390118829925659</v>
      </c>
      <c r="BF3" s="7" t="str">
        <f>"0"</f>
        <v>0</v>
      </c>
      <c r="BG3" t="str">
        <f ca="1">IF((OFFSET($A$1, 3 - 1, 57 - 1)) &gt;= (OFFSET($A$1, 108 - 1, 7 - 1)), "1","0")</f>
        <v>0</v>
      </c>
      <c r="BH3">
        <f ca="1" xml:space="preserve"> IF( AND( OFFSET($A$1, 3 - 1, 58 - 1) = "1", OFFSET($A$1, 3 - 1, 59 - 1) = "1" ), 1, IF( AND( OFFSET($A$1, 3 - 1, 58 - 1) = "1", OFFSET($A$1, 3 - 1, 59 - 1) = "0" ), 2, IF( AND( OFFSET($A$1, 3 - 1, 58 - 1) = "0", OFFSET($A$1, 3 - 1, 59 - 1) = "1" ), 3, 4 ) ) )</f>
        <v>4</v>
      </c>
    </row>
    <row r="4" spans="2:6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66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7">
        <v>0.16830057556214764</v>
      </c>
      <c r="BA4" s="7" t="str">
        <f>"0"</f>
        <v>0</v>
      </c>
      <c r="BB4" t="str">
        <f ca="1">IF((OFFSET($A$1, 4 - 1, 52 - 1)) &gt;= (OFFSET($A$1, 84 - 1, 7 - 1)), "1","0")</f>
        <v>0</v>
      </c>
      <c r="BC4">
        <f ca="1" xml:space="preserve"> IF( AND( OFFSET($A$1, 4 - 1, 53 - 1) = "1", OFFSET($A$1, 4 - 1, 54 - 1) = "1" ), 1, IF( AND( OFFSET($A$1, 4 - 1, 53 - 1) = "1", OFFSET($A$1, 4 - 1, 54 - 1) = "0" ), 2, IF( AND( OFFSET($A$1, 4 - 1, 53 - 1) = "0", OFFSET($A$1, 4 - 1, 54 - 1) = "1" ), 3, 4 ) ) )</f>
        <v>4</v>
      </c>
      <c r="BE4" s="7">
        <v>0.13413858005385473</v>
      </c>
      <c r="BF4" s="7" t="str">
        <f>"0"</f>
        <v>0</v>
      </c>
      <c r="BG4" t="str">
        <f ca="1">IF((OFFSET($A$1, 4 - 1, 57 - 1)) &gt;= (OFFSET($A$1, 108 - 1, 7 - 1)), "1","0")</f>
        <v>0</v>
      </c>
      <c r="BH4">
        <f ca="1" xml:space="preserve"> IF( AND( OFFSET($A$1, 4 - 1, 58 - 1) = "1", OFFSET($A$1, 4 - 1, 59 - 1) = "1" ), 1, IF( AND( OFFSET($A$1, 4 - 1, 58 - 1) = "1", OFFSET($A$1, 4 - 1, 59 - 1) = "0" ), 2, IF( AND( OFFSET($A$1, 4 - 1, 58 - 1) = "0", OFFSET($A$1, 4 - 1, 59 - 1) = "1" ), 3, 4 ) ) )</f>
        <v>4</v>
      </c>
    </row>
    <row r="5" spans="2:60" x14ac:dyDescent="0.25">
      <c r="B5" s="23" t="s">
        <v>67</v>
      </c>
      <c r="C5" s="19"/>
      <c r="D5" s="23" t="s">
        <v>68</v>
      </c>
      <c r="E5" s="19"/>
      <c r="F5" s="23" t="s">
        <v>69</v>
      </c>
      <c r="G5" s="19"/>
      <c r="H5" s="23" t="s">
        <v>70</v>
      </c>
      <c r="I5" s="19"/>
      <c r="J5" s="17"/>
      <c r="K5" s="19"/>
      <c r="N5" s="7">
        <v>0</v>
      </c>
      <c r="O5" s="7">
        <v>0</v>
      </c>
      <c r="P5" s="7">
        <v>0</v>
      </c>
      <c r="Q5" s="7">
        <v>0</v>
      </c>
      <c r="AZ5" s="7">
        <v>0.18289130345265359</v>
      </c>
      <c r="BA5" s="7" t="str">
        <f>"1"</f>
        <v>1</v>
      </c>
      <c r="BB5" t="str">
        <f ca="1">IF((OFFSET($A$1, 5 - 1, 52 - 1)) &gt;= (OFFSET($A$1, 84 - 1, 7 - 1)), "1","0")</f>
        <v>0</v>
      </c>
      <c r="BC5">
        <f ca="1" xml:space="preserve"> IF( AND( OFFSET($A$1, 5 - 1, 53 - 1) = "1", OFFSET($A$1, 5 - 1, 54 - 1) = "1" ), 1, IF( AND( OFFSET($A$1, 5 - 1, 53 - 1) = "1", OFFSET($A$1, 5 - 1, 54 - 1) = "0" ), 2, IF( AND( OFFSET($A$1, 5 - 1, 53 - 1) = "0", OFFSET($A$1, 5 - 1, 54 - 1) = "1" ), 3, 4 ) ) )</f>
        <v>2</v>
      </c>
      <c r="BE5" s="7">
        <v>0.17061987728380895</v>
      </c>
      <c r="BF5" s="7" t="str">
        <f>"0"</f>
        <v>0</v>
      </c>
      <c r="BG5" t="str">
        <f ca="1">IF((OFFSET($A$1, 5 - 1, 57 - 1)) &gt;= (OFFSET($A$1, 108 - 1, 7 - 1)), "1","0")</f>
        <v>0</v>
      </c>
      <c r="BH5">
        <f ca="1" xml:space="preserve"> IF( AND( OFFSET($A$1, 5 - 1, 58 - 1) = "1", OFFSET($A$1, 5 - 1, 59 - 1) = "1" ), 1, IF( AND( OFFSET($A$1, 5 - 1, 58 - 1) = "1", OFFSET($A$1, 5 - 1, 59 - 1) = "0" ), 2, IF( AND( OFFSET($A$1, 5 - 1, 58 - 1) = "0", OFFSET($A$1, 5 - 1, 59 - 1) = "1" ), 3, 4 ) ) )</f>
        <v>4</v>
      </c>
    </row>
    <row r="6" spans="2:60" x14ac:dyDescent="0.25">
      <c r="AZ6" s="7">
        <v>0.23360621352235511</v>
      </c>
      <c r="BA6" s="7" t="str">
        <f>"0"</f>
        <v>0</v>
      </c>
      <c r="BB6" t="str">
        <f ca="1">IF((OFFSET($A$1, 6 - 1, 52 - 1)) &gt;= (OFFSET($A$1, 84 - 1, 7 - 1)), "1","0")</f>
        <v>0</v>
      </c>
      <c r="BC6">
        <f ca="1" xml:space="preserve"> IF( AND( OFFSET($A$1, 6 - 1, 53 - 1) = "1", OFFSET($A$1, 6 - 1, 54 - 1) = "1" ), 1, IF( AND( OFFSET($A$1, 6 - 1, 53 - 1) = "1", OFFSET($A$1, 6 - 1, 54 - 1) = "0" ), 2, IF( AND( OFFSET($A$1, 6 - 1, 53 - 1) = "0", OFFSET($A$1, 6 - 1, 54 - 1) = "1" ), 3, 4 ) ) )</f>
        <v>4</v>
      </c>
      <c r="BE6" s="7">
        <v>0.1838350401037761</v>
      </c>
      <c r="BF6" s="7" t="str">
        <f>"0"</f>
        <v>0</v>
      </c>
      <c r="BG6" t="str">
        <f ca="1">IF((OFFSET($A$1, 6 - 1, 57 - 1)) &gt;= (OFFSET($A$1, 108 - 1, 7 - 1)), "1","0")</f>
        <v>0</v>
      </c>
      <c r="BH6">
        <f ca="1" xml:space="preserve"> IF( AND( OFFSET($A$1, 6 - 1, 58 - 1) = "1", OFFSET($A$1, 6 - 1, 59 - 1) = "1" ), 1, IF( AND( OFFSET($A$1, 6 - 1, 58 - 1) = "1", OFFSET($A$1, 6 - 1, 59 - 1) = "0" ), 2, IF( AND( OFFSET($A$1, 6 - 1, 58 - 1) = "0", OFFSET($A$1, 6 - 1, 59 - 1) = "1" ), 3, 4 ) ) )</f>
        <v>4</v>
      </c>
    </row>
    <row r="7" spans="2:60" x14ac:dyDescent="0.25">
      <c r="AZ7" s="7">
        <v>0.24507861051774574</v>
      </c>
      <c r="BA7" s="7" t="str">
        <f>"0"</f>
        <v>0</v>
      </c>
      <c r="BB7" t="str">
        <f ca="1">IF((OFFSET($A$1, 7 - 1, 52 - 1)) &gt;= (OFFSET($A$1, 84 - 1, 7 - 1)), "1","0")</f>
        <v>0</v>
      </c>
      <c r="BC7">
        <f ca="1" xml:space="preserve"> IF( AND( OFFSET($A$1, 7 - 1, 53 - 1) = "1", OFFSET($A$1, 7 - 1, 54 - 1) = "1" ), 1, IF( AND( OFFSET($A$1, 7 - 1, 53 - 1) = "1", OFFSET($A$1, 7 - 1, 54 - 1) = "0" ), 2, IF( AND( OFFSET($A$1, 7 - 1, 53 - 1) = "0", OFFSET($A$1, 7 - 1, 54 - 1) = "1" ), 3, 4 ) ) )</f>
        <v>4</v>
      </c>
      <c r="BE7" s="7">
        <v>0.21669615323793731</v>
      </c>
      <c r="BF7" s="7" t="str">
        <f>"1"</f>
        <v>1</v>
      </c>
      <c r="BG7" t="str">
        <f ca="1">IF((OFFSET($A$1, 7 - 1, 57 - 1)) &gt;= (OFFSET($A$1, 108 - 1, 7 - 1)), "1","0")</f>
        <v>0</v>
      </c>
      <c r="BH7">
        <f ca="1" xml:space="preserve"> IF( AND( OFFSET($A$1, 7 - 1, 58 - 1) = "1", OFFSET($A$1, 7 - 1, 59 - 1) = "1" ), 1, IF( AND( OFFSET($A$1, 7 - 1, 58 - 1) = "1", OFFSET($A$1, 7 - 1, 59 - 1) = "0" ), 2, IF( AND( OFFSET($A$1, 7 - 1, 58 - 1) = "0", OFFSET($A$1, 7 - 1, 59 - 1) = "1" ), 3, 4 ) ) )</f>
        <v>2</v>
      </c>
    </row>
    <row r="8" spans="2:60" x14ac:dyDescent="0.25">
      <c r="AZ8" s="7">
        <v>0.20248565211354086</v>
      </c>
      <c r="BA8" s="7" t="str">
        <f>"1"</f>
        <v>1</v>
      </c>
      <c r="BB8" t="str">
        <f ca="1">IF((OFFSET($A$1, 8 - 1, 52 - 1)) &gt;= (OFFSET($A$1, 84 - 1, 7 - 1)), "1","0")</f>
        <v>0</v>
      </c>
      <c r="BC8">
        <f ca="1" xml:space="preserve"> IF( AND( OFFSET($A$1, 8 - 1, 53 - 1) = "1", OFFSET($A$1, 8 - 1, 54 - 1) = "1" ), 1, IF( AND( OFFSET($A$1, 8 - 1, 53 - 1) = "1", OFFSET($A$1, 8 - 1, 54 - 1) = "0" ), 2, IF( AND( OFFSET($A$1, 8 - 1, 53 - 1) = "0", OFFSET($A$1, 8 - 1, 54 - 1) = "1" ), 3, 4 ) ) )</f>
        <v>2</v>
      </c>
      <c r="BE8" s="7">
        <v>0.18252869970163935</v>
      </c>
      <c r="BF8" s="7" t="str">
        <f>"0"</f>
        <v>0</v>
      </c>
      <c r="BG8" t="str">
        <f ca="1">IF((OFFSET($A$1, 8 - 1, 57 - 1)) &gt;= (OFFSET($A$1, 108 - 1, 7 - 1)), "1","0")</f>
        <v>0</v>
      </c>
      <c r="BH8">
        <f ca="1" xml:space="preserve"> IF( AND( OFFSET($A$1, 8 - 1, 58 - 1) = "1", OFFSET($A$1, 8 - 1, 59 - 1) = "1" ), 1, IF( AND( OFFSET($A$1, 8 - 1, 58 - 1) = "1", OFFSET($A$1, 8 - 1, 59 - 1) = "0" ), 2, IF( AND( OFFSET($A$1, 8 - 1, 58 - 1) = "0", OFFSET($A$1, 8 - 1, 59 - 1) = "1" ), 3, 4 ) ) )</f>
        <v>4</v>
      </c>
    </row>
    <row r="9" spans="2:60" x14ac:dyDescent="0.25">
      <c r="AZ9" s="7">
        <v>0.1700723416128419</v>
      </c>
      <c r="BA9" s="7" t="str">
        <f>"0"</f>
        <v>0</v>
      </c>
      <c r="BB9" t="str">
        <f ca="1">IF((OFFSET($A$1, 9 - 1, 52 - 1)) &gt;= (OFFSET($A$1, 84 - 1, 7 - 1)), "1","0")</f>
        <v>0</v>
      </c>
      <c r="BC9">
        <f ca="1" xml:space="preserve"> IF( AND( OFFSET($A$1, 9 - 1, 53 - 1) = "1", OFFSET($A$1, 9 - 1, 54 - 1) = "1" ), 1, IF( AND( OFFSET($A$1, 9 - 1, 53 - 1) = "1", OFFSET($A$1, 9 - 1, 54 - 1) = "0" ), 2, IF( AND( OFFSET($A$1, 9 - 1, 53 - 1) = "0", OFFSET($A$1, 9 - 1, 54 - 1) = "1" ), 3, 4 ) ) )</f>
        <v>4</v>
      </c>
      <c r="BE9" s="7">
        <v>0.1700723416128419</v>
      </c>
      <c r="BF9" s="7" t="str">
        <f>"0"</f>
        <v>0</v>
      </c>
      <c r="BG9" t="str">
        <f ca="1">IF((OFFSET($A$1, 9 - 1, 57 - 1)) &gt;= (OFFSET($A$1, 108 - 1, 7 - 1)), "1","0")</f>
        <v>0</v>
      </c>
      <c r="BH9">
        <f ca="1" xml:space="preserve"> IF( AND( OFFSET($A$1, 9 - 1, 58 - 1) = "1", OFFSET($A$1, 9 - 1, 59 - 1) = "1" ), 1, IF( AND( OFFSET($A$1, 9 - 1, 58 - 1) = "1", OFFSET($A$1, 9 - 1, 59 - 1) = "0" ), 2, IF( AND( OFFSET($A$1, 9 - 1, 58 - 1) = "0", OFFSET($A$1, 9 - 1, 59 - 1) = "1" ), 3, 4 ) ) )</f>
        <v>4</v>
      </c>
    </row>
    <row r="10" spans="2:60" ht="18.75" x14ac:dyDescent="0.3">
      <c r="B10" s="26" t="s">
        <v>62</v>
      </c>
      <c r="AZ10" s="7">
        <v>0.19249866972239305</v>
      </c>
      <c r="BA10" s="7" t="str">
        <f>"0"</f>
        <v>0</v>
      </c>
      <c r="BB10" t="str">
        <f ca="1">IF((OFFSET($A$1, 10 - 1, 52 - 1)) &gt;= (OFFSET($A$1, 84 - 1, 7 - 1)), "1","0")</f>
        <v>0</v>
      </c>
      <c r="BC10">
        <f ca="1" xml:space="preserve"> IF( AND( OFFSET($A$1, 10 - 1, 53 - 1) = "1", OFFSET($A$1, 10 - 1, 54 - 1) = "1" ), 1, IF( AND( OFFSET($A$1, 10 - 1, 53 - 1) = "1", OFFSET($A$1, 10 - 1, 54 - 1) = "0" ), 2, IF( AND( OFFSET($A$1, 10 - 1, 53 - 1) = "0", OFFSET($A$1, 10 - 1, 54 - 1) = "1" ), 3, 4 ) ) )</f>
        <v>4</v>
      </c>
      <c r="BE10" s="7">
        <v>0.19545479025852741</v>
      </c>
      <c r="BF10" s="7" t="str">
        <f>"0"</f>
        <v>0</v>
      </c>
      <c r="BG10" t="str">
        <f ca="1">IF((OFFSET($A$1, 10 - 1, 57 - 1)) &gt;= (OFFSET($A$1, 108 - 1, 7 - 1)), "1","0")</f>
        <v>0</v>
      </c>
      <c r="BH10">
        <f ca="1" xml:space="preserve"> IF( AND( OFFSET($A$1, 10 - 1, 58 - 1) = "1", OFFSET($A$1, 10 - 1, 59 - 1) = "1" ), 1, IF( AND( OFFSET($A$1, 10 - 1, 58 - 1) = "1", OFFSET($A$1, 10 - 1, 59 - 1) = "0" ), 2, IF( AND( OFFSET($A$1, 10 - 1, 58 - 1) = "0", OFFSET($A$1, 10 - 1, 59 - 1) = "1" ), 3, 4 ) ) )</f>
        <v>4</v>
      </c>
    </row>
    <row r="11" spans="2:60" x14ac:dyDescent="0.25">
      <c r="AZ11" s="7">
        <v>0.21710860581426084</v>
      </c>
      <c r="BA11" s="7" t="str">
        <f>"0"</f>
        <v>0</v>
      </c>
      <c r="BB11" t="str">
        <f ca="1">IF((OFFSET($A$1, 11 - 1, 52 - 1)) &gt;= (OFFSET($A$1, 84 - 1, 7 - 1)), "1","0")</f>
        <v>0</v>
      </c>
      <c r="BC11">
        <f ca="1" xml:space="preserve"> IF( AND( OFFSET($A$1, 11 - 1, 53 - 1) = "1", OFFSET($A$1, 11 - 1, 54 - 1) = "1" ), 1, IF( AND( OFFSET($A$1, 11 - 1, 53 - 1) = "1", OFFSET($A$1, 11 - 1, 54 - 1) = "0" ), 2, IF( AND( OFFSET($A$1, 11 - 1, 53 - 1) = "0", OFFSET($A$1, 11 - 1, 54 - 1) = "1" ), 3, 4 ) ) )</f>
        <v>4</v>
      </c>
      <c r="BE11" s="7">
        <v>0.15630865462129281</v>
      </c>
      <c r="BF11" s="7" t="str">
        <f>"0"</f>
        <v>0</v>
      </c>
      <c r="BG11" t="str">
        <f ca="1">IF((OFFSET($A$1, 11 - 1, 57 - 1)) &gt;= (OFFSET($A$1, 108 - 1, 7 - 1)), "1","0")</f>
        <v>0</v>
      </c>
      <c r="BH11">
        <f ca="1" xml:space="preserve"> IF( AND( OFFSET($A$1, 11 - 1, 58 - 1) = "1", OFFSET($A$1, 11 - 1, 59 - 1) = "1" ), 1, IF( AND( OFFSET($A$1, 11 - 1, 58 - 1) = "1", OFFSET($A$1, 11 - 1, 59 - 1) = "0" ), 2, IF( AND( OFFSET($A$1, 11 - 1, 58 - 1) = "0", OFFSET($A$1, 11 - 1, 59 - 1) = "1" ), 3, 4 ) ) )</f>
        <v>4</v>
      </c>
    </row>
    <row r="12" spans="2:60" x14ac:dyDescent="0.25">
      <c r="C12" s="11" t="s">
        <v>10</v>
      </c>
      <c r="D12" s="12"/>
      <c r="E12" s="12"/>
      <c r="F12" s="12"/>
      <c r="G12" s="12"/>
      <c r="H12" s="12"/>
      <c r="I12" s="12"/>
      <c r="J12" s="12"/>
      <c r="K12" s="13"/>
      <c r="AZ12" s="7">
        <v>0.17275775006111982</v>
      </c>
      <c r="BA12" s="7" t="str">
        <f>"0"</f>
        <v>0</v>
      </c>
      <c r="BB12" t="str">
        <f ca="1">IF((OFFSET($A$1, 12 - 1, 52 - 1)) &gt;= (OFFSET($A$1, 84 - 1, 7 - 1)), "1","0")</f>
        <v>0</v>
      </c>
      <c r="BC12">
        <f ca="1" xml:space="preserve"> IF( AND( OFFSET($A$1, 12 - 1, 53 - 1) = "1", OFFSET($A$1, 12 - 1, 54 - 1) = "1" ), 1, IF( AND( OFFSET($A$1, 12 - 1, 53 - 1) = "1", OFFSET($A$1, 12 - 1, 54 - 1) = "0" ), 2, IF( AND( OFFSET($A$1, 12 - 1, 53 - 1) = "0", OFFSET($A$1, 12 - 1, 54 - 1) = "1" ), 3, 4 ) ) )</f>
        <v>4</v>
      </c>
      <c r="BE12" s="7">
        <v>0.14977410933308413</v>
      </c>
      <c r="BF12" s="7" t="str">
        <f>"0"</f>
        <v>0</v>
      </c>
      <c r="BG12" t="str">
        <f ca="1">IF((OFFSET($A$1, 12 - 1, 57 - 1)) &gt;= (OFFSET($A$1, 108 - 1, 7 - 1)), "1","0")</f>
        <v>0</v>
      </c>
      <c r="BH12">
        <f ca="1" xml:space="preserve"> IF( AND( OFFSET($A$1, 12 - 1, 58 - 1) = "1", OFFSET($A$1, 12 - 1, 59 - 1) = "1" ), 1, IF( AND( OFFSET($A$1, 12 - 1, 58 - 1) = "1", OFFSET($A$1, 12 - 1, 59 - 1) = "0" ), 2, IF( AND( OFFSET($A$1, 12 - 1, 58 - 1) = "0", OFFSET($A$1, 12 - 1, 59 - 1) = "1" ), 3, 4 ) ) )</f>
        <v>4</v>
      </c>
    </row>
    <row r="13" spans="2:60" x14ac:dyDescent="0.25">
      <c r="C13" s="14" t="s">
        <v>73</v>
      </c>
      <c r="D13" s="15"/>
      <c r="E13" s="15"/>
      <c r="F13" s="16"/>
      <c r="G13" s="20" t="s">
        <v>74</v>
      </c>
      <c r="H13" s="21"/>
      <c r="I13" s="21"/>
      <c r="J13" s="21"/>
      <c r="K13" s="22"/>
      <c r="AZ13" s="7">
        <v>0.15301280302132639</v>
      </c>
      <c r="BA13" s="7" t="str">
        <f>"0"</f>
        <v>0</v>
      </c>
      <c r="BB13" t="str">
        <f ca="1">IF((OFFSET($A$1, 13 - 1, 52 - 1)) &gt;= (OFFSET($A$1, 84 - 1, 7 - 1)), "1","0")</f>
        <v>0</v>
      </c>
      <c r="BC13">
        <f ca="1" xml:space="preserve"> IF( AND( OFFSET($A$1, 13 - 1, 53 - 1) = "1", OFFSET($A$1, 13 - 1, 54 - 1) = "1" ), 1, IF( AND( OFFSET($A$1, 13 - 1, 53 - 1) = "1", OFFSET($A$1, 13 - 1, 54 - 1) = "0" ), 2, IF( AND( OFFSET($A$1, 13 - 1, 53 - 1) = "0", OFFSET($A$1, 13 - 1, 54 - 1) = "1" ), 3, 4 ) ) )</f>
        <v>4</v>
      </c>
      <c r="BE13" s="7">
        <v>0.13738120305926424</v>
      </c>
      <c r="BF13" s="7" t="str">
        <f>"0"</f>
        <v>0</v>
      </c>
      <c r="BG13" t="str">
        <f ca="1">IF((OFFSET($A$1, 13 - 1, 57 - 1)) &gt;= (OFFSET($A$1, 108 - 1, 7 - 1)), "1","0")</f>
        <v>0</v>
      </c>
      <c r="BH13">
        <f ca="1" xml:space="preserve"> IF( AND( OFFSET($A$1, 13 - 1, 58 - 1) = "1", OFFSET($A$1, 13 - 1, 59 - 1) = "1" ), 1, IF( AND( OFFSET($A$1, 13 - 1, 58 - 1) = "1", OFFSET($A$1, 13 - 1, 59 - 1) = "0" ), 2, IF( AND( OFFSET($A$1, 13 - 1, 58 - 1) = "0", OFFSET($A$1, 13 - 1, 59 - 1) = "1" ), 3, 4 ) ) )</f>
        <v>4</v>
      </c>
    </row>
    <row r="14" spans="2:60" x14ac:dyDescent="0.25">
      <c r="C14" s="14" t="s">
        <v>75</v>
      </c>
      <c r="D14" s="15"/>
      <c r="E14" s="15"/>
      <c r="F14" s="16"/>
      <c r="G14" s="20" t="s">
        <v>76</v>
      </c>
      <c r="H14" s="21"/>
      <c r="I14" s="21"/>
      <c r="J14" s="21"/>
      <c r="K14" s="22"/>
      <c r="AZ14" s="7">
        <v>0.23814991919855449</v>
      </c>
      <c r="BA14" s="7" t="str">
        <f>"1"</f>
        <v>1</v>
      </c>
      <c r="BB14" t="str">
        <f ca="1">IF((OFFSET($A$1, 14 - 1, 52 - 1)) &gt;= (OFFSET($A$1, 84 - 1, 7 - 1)), "1","0")</f>
        <v>0</v>
      </c>
      <c r="BC14">
        <f ca="1" xml:space="preserve"> IF( AND( OFFSET($A$1, 14 - 1, 53 - 1) = "1", OFFSET($A$1, 14 - 1, 54 - 1) = "1" ), 1, IF( AND( OFFSET($A$1, 14 - 1, 53 - 1) = "1", OFFSET($A$1, 14 - 1, 54 - 1) = "0" ), 2, IF( AND( OFFSET($A$1, 14 - 1, 53 - 1) = "0", OFFSET($A$1, 14 - 1, 54 - 1) = "1" ), 3, 4 ) ) )</f>
        <v>2</v>
      </c>
      <c r="BE14" s="7">
        <v>0.24741819998309791</v>
      </c>
      <c r="BF14" s="7" t="str">
        <f>"0"</f>
        <v>0</v>
      </c>
      <c r="BG14" t="str">
        <f ca="1">IF((OFFSET($A$1, 14 - 1, 57 - 1)) &gt;= (OFFSET($A$1, 108 - 1, 7 - 1)), "1","0")</f>
        <v>0</v>
      </c>
      <c r="BH14">
        <f ca="1" xml:space="preserve"> IF( AND( OFFSET($A$1, 14 - 1, 58 - 1) = "1", OFFSET($A$1, 14 - 1, 59 - 1) = "1" ), 1, IF( AND( OFFSET($A$1, 14 - 1, 58 - 1) = "1", OFFSET($A$1, 14 - 1, 59 - 1) = "0" ), 2, IF( AND( OFFSET($A$1, 14 - 1, 58 - 1) = "0", OFFSET($A$1, 14 - 1, 59 - 1) = "1" ), 3, 4 ) ) )</f>
        <v>4</v>
      </c>
    </row>
    <row r="15" spans="2:60" x14ac:dyDescent="0.25">
      <c r="C15" s="14" t="s">
        <v>77</v>
      </c>
      <c r="D15" s="15"/>
      <c r="E15" s="15"/>
      <c r="F15" s="16"/>
      <c r="G15" s="20" t="s">
        <v>78</v>
      </c>
      <c r="H15" s="21"/>
      <c r="I15" s="21"/>
      <c r="J15" s="21"/>
      <c r="K15" s="22"/>
      <c r="AZ15" s="7">
        <v>0.18101512034061376</v>
      </c>
      <c r="BA15" s="7" t="str">
        <f>"1"</f>
        <v>1</v>
      </c>
      <c r="BB15" t="str">
        <f ca="1">IF((OFFSET($A$1, 15 - 1, 52 - 1)) &gt;= (OFFSET($A$1, 84 - 1, 7 - 1)), "1","0")</f>
        <v>0</v>
      </c>
      <c r="BC15">
        <f ca="1" xml:space="preserve"> IF( AND( OFFSET($A$1, 15 - 1, 53 - 1) = "1", OFFSET($A$1, 15 - 1, 54 - 1) = "1" ), 1, IF( AND( OFFSET($A$1, 15 - 1, 53 - 1) = "1", OFFSET($A$1, 15 - 1, 54 - 1) = "0" ), 2, IF( AND( OFFSET($A$1, 15 - 1, 53 - 1) = "0", OFFSET($A$1, 15 - 1, 54 - 1) = "1" ), 3, 4 ) ) )</f>
        <v>2</v>
      </c>
      <c r="BE15" s="7">
        <v>0.24859360178706014</v>
      </c>
      <c r="BF15" s="7" t="str">
        <f>"0"</f>
        <v>0</v>
      </c>
      <c r="BG15" t="str">
        <f ca="1">IF((OFFSET($A$1, 15 - 1, 57 - 1)) &gt;= (OFFSET($A$1, 108 - 1, 7 - 1)), "1","0")</f>
        <v>0</v>
      </c>
      <c r="BH15">
        <f ca="1" xml:space="preserve"> IF( AND( OFFSET($A$1, 15 - 1, 58 - 1) = "1", OFFSET($A$1, 15 - 1, 59 - 1) = "1" ), 1, IF( AND( OFFSET($A$1, 15 - 1, 58 - 1) = "1", OFFSET($A$1, 15 - 1, 59 - 1) = "0" ), 2, IF( AND( OFFSET($A$1, 15 - 1, 58 - 1) = "0", OFFSET($A$1, 15 - 1, 59 - 1) = "1" ), 3, 4 ) ) )</f>
        <v>4</v>
      </c>
    </row>
    <row r="16" spans="2:60" x14ac:dyDescent="0.25">
      <c r="C16" s="14" t="s">
        <v>79</v>
      </c>
      <c r="D16" s="15"/>
      <c r="E16" s="15"/>
      <c r="F16" s="16"/>
      <c r="G16" s="20">
        <v>300</v>
      </c>
      <c r="H16" s="21"/>
      <c r="I16" s="21"/>
      <c r="J16" s="21"/>
      <c r="K16" s="22"/>
      <c r="AZ16" s="7">
        <v>0.21603927017399838</v>
      </c>
      <c r="BA16" s="7" t="str">
        <f>"0"</f>
        <v>0</v>
      </c>
      <c r="BB16" t="str">
        <f ca="1">IF((OFFSET($A$1, 16 - 1, 52 - 1)) &gt;= (OFFSET($A$1, 84 - 1, 7 - 1)), "1","0")</f>
        <v>0</v>
      </c>
      <c r="BC16">
        <f ca="1" xml:space="preserve"> IF( AND( OFFSET($A$1, 16 - 1, 53 - 1) = "1", OFFSET($A$1, 16 - 1, 54 - 1) = "1" ), 1, IF( AND( OFFSET($A$1, 16 - 1, 53 - 1) = "1", OFFSET($A$1, 16 - 1, 54 - 1) = "0" ), 2, IF( AND( OFFSET($A$1, 16 - 1, 53 - 1) = "0", OFFSET($A$1, 16 - 1, 54 - 1) = "1" ), 3, 4 ) ) )</f>
        <v>4</v>
      </c>
      <c r="BE16" s="7">
        <v>0.27038249801385822</v>
      </c>
      <c r="BF16" s="7" t="str">
        <f>"0"</f>
        <v>0</v>
      </c>
      <c r="BG16" t="str">
        <f ca="1">IF((OFFSET($A$1, 16 - 1, 57 - 1)) &gt;= (OFFSET($A$1, 108 - 1, 7 - 1)), "1","0")</f>
        <v>0</v>
      </c>
      <c r="BH16">
        <f ca="1" xml:space="preserve"> IF( AND( OFFSET($A$1, 16 - 1, 58 - 1) = "1", OFFSET($A$1, 16 - 1, 59 - 1) = "1" ), 1, IF( AND( OFFSET($A$1, 16 - 1, 58 - 1) = "1", OFFSET($A$1, 16 - 1, 59 - 1) = "0" ), 2, IF( AND( OFFSET($A$1, 16 - 1, 58 - 1) = "0", OFFSET($A$1, 16 - 1, 59 - 1) = "1" ), 3, 4 ) ) )</f>
        <v>4</v>
      </c>
    </row>
    <row r="17" spans="3:60" x14ac:dyDescent="0.25">
      <c r="C17" s="14" t="s">
        <v>80</v>
      </c>
      <c r="D17" s="15"/>
      <c r="E17" s="15"/>
      <c r="F17" s="16"/>
      <c r="G17" s="20" t="s">
        <v>81</v>
      </c>
      <c r="H17" s="21"/>
      <c r="I17" s="21"/>
      <c r="J17" s="21"/>
      <c r="K17" s="22"/>
      <c r="AZ17" s="7">
        <v>0.21074991125651377</v>
      </c>
      <c r="BA17" s="7" t="str">
        <f>"1"</f>
        <v>1</v>
      </c>
      <c r="BB17" t="str">
        <f ca="1">IF((OFFSET($A$1, 17 - 1, 52 - 1)) &gt;= (OFFSET($A$1, 84 - 1, 7 - 1)), "1","0")</f>
        <v>0</v>
      </c>
      <c r="BC17">
        <f ca="1" xml:space="preserve"> IF( AND( OFFSET($A$1, 17 - 1, 53 - 1) = "1", OFFSET($A$1, 17 - 1, 54 - 1) = "1" ), 1, IF( AND( OFFSET($A$1, 17 - 1, 53 - 1) = "1", OFFSET($A$1, 17 - 1, 54 - 1) = "0" ), 2, IF( AND( OFFSET($A$1, 17 - 1, 53 - 1) = "0", OFFSET($A$1, 17 - 1, 54 - 1) = "1" ), 3, 4 ) ) )</f>
        <v>2</v>
      </c>
      <c r="BE17" s="7">
        <v>0.21034629300026661</v>
      </c>
      <c r="BF17" s="7" t="str">
        <f>"1"</f>
        <v>1</v>
      </c>
      <c r="BG17" t="str">
        <f ca="1">IF((OFFSET($A$1, 17 - 1, 57 - 1)) &gt;= (OFFSET($A$1, 108 - 1, 7 - 1)), "1","0")</f>
        <v>0</v>
      </c>
      <c r="BH17">
        <f ca="1" xml:space="preserve"> IF( AND( OFFSET($A$1, 17 - 1, 58 - 1) = "1", OFFSET($A$1, 17 - 1, 59 - 1) = "1" ), 1, IF( AND( OFFSET($A$1, 17 - 1, 58 - 1) = "1", OFFSET($A$1, 17 - 1, 59 - 1) = "0" ), 2, IF( AND( OFFSET($A$1, 17 - 1, 58 - 1) = "0", OFFSET($A$1, 17 - 1, 59 - 1) = "1" ), 3, 4 ) ) )</f>
        <v>2</v>
      </c>
    </row>
    <row r="18" spans="3:60" x14ac:dyDescent="0.25">
      <c r="C18" s="14" t="s">
        <v>82</v>
      </c>
      <c r="D18" s="15"/>
      <c r="E18" s="15"/>
      <c r="F18" s="16"/>
      <c r="G18" s="20">
        <v>200</v>
      </c>
      <c r="H18" s="21"/>
      <c r="I18" s="21"/>
      <c r="J18" s="21"/>
      <c r="K18" s="22"/>
      <c r="AZ18" s="7">
        <v>0.21710860581426084</v>
      </c>
      <c r="BA18" s="7" t="str">
        <f>"1"</f>
        <v>1</v>
      </c>
      <c r="BB18" t="str">
        <f ca="1">IF((OFFSET($A$1, 18 - 1, 52 - 1)) &gt;= (OFFSET($A$1, 84 - 1, 7 - 1)), "1","0")</f>
        <v>0</v>
      </c>
      <c r="BC18">
        <f ca="1" xml:space="preserve"> IF( AND( OFFSET($A$1, 18 - 1, 53 - 1) = "1", OFFSET($A$1, 18 - 1, 54 - 1) = "1" ), 1, IF( AND( OFFSET($A$1, 18 - 1, 53 - 1) = "1", OFFSET($A$1, 18 - 1, 54 - 1) = "0" ), 2, IF( AND( OFFSET($A$1, 18 - 1, 53 - 1) = "0", OFFSET($A$1, 18 - 1, 54 - 1) = "1" ), 3, 4 ) ) )</f>
        <v>2</v>
      </c>
      <c r="BE18" s="7">
        <v>0.23135707965555613</v>
      </c>
      <c r="BF18" s="7" t="str">
        <f>"0"</f>
        <v>0</v>
      </c>
      <c r="BG18" t="str">
        <f ca="1">IF((OFFSET($A$1, 18 - 1, 57 - 1)) &gt;= (OFFSET($A$1, 108 - 1, 7 - 1)), "1","0")</f>
        <v>0</v>
      </c>
      <c r="BH18">
        <f ca="1" xml:space="preserve"> IF( AND( OFFSET($A$1, 18 - 1, 58 - 1) = "1", OFFSET($A$1, 18 - 1, 59 - 1) = "1" ), 1, IF( AND( OFFSET($A$1, 18 - 1, 58 - 1) = "1", OFFSET($A$1, 18 - 1, 59 - 1) = "0" ), 2, IF( AND( OFFSET($A$1, 18 - 1, 58 - 1) = "0", OFFSET($A$1, 18 - 1, 59 - 1) = "1" ), 3, 4 ) ) )</f>
        <v>4</v>
      </c>
    </row>
    <row r="19" spans="3:60" x14ac:dyDescent="0.25">
      <c r="AZ19" s="7">
        <v>0.19507322448124212</v>
      </c>
      <c r="BA19" s="7" t="str">
        <f>"0"</f>
        <v>0</v>
      </c>
      <c r="BB19" t="str">
        <f ca="1">IF((OFFSET($A$1, 19 - 1, 52 - 1)) &gt;= (OFFSET($A$1, 84 - 1, 7 - 1)), "1","0")</f>
        <v>0</v>
      </c>
      <c r="BC19">
        <f ca="1" xml:space="preserve"> IF( AND( OFFSET($A$1, 19 - 1, 53 - 1) = "1", OFFSET($A$1, 19 - 1, 54 - 1) = "1" ), 1, IF( AND( OFFSET($A$1, 19 - 1, 53 - 1) = "1", OFFSET($A$1, 19 - 1, 54 - 1) = "0" ), 2, IF( AND( OFFSET($A$1, 19 - 1, 53 - 1) = "0", OFFSET($A$1, 19 - 1, 54 - 1) = "1" ), 3, 4 ) ) )</f>
        <v>4</v>
      </c>
      <c r="BE19" s="7">
        <v>0.19114518343924591</v>
      </c>
      <c r="BF19" s="7" t="str">
        <f>"1"</f>
        <v>1</v>
      </c>
      <c r="BG19" t="str">
        <f ca="1">IF((OFFSET($A$1, 19 - 1, 57 - 1)) &gt;= (OFFSET($A$1, 108 - 1, 7 - 1)), "1","0")</f>
        <v>0</v>
      </c>
      <c r="BH19">
        <f ca="1" xml:space="preserve"> IF( AND( OFFSET($A$1, 19 - 1, 58 - 1) = "1", OFFSET($A$1, 19 - 1, 59 - 1) = "1" ), 1, IF( AND( OFFSET($A$1, 19 - 1, 58 - 1) = "1", OFFSET($A$1, 19 - 1, 59 - 1) = "0" ), 2, IF( AND( OFFSET($A$1, 19 - 1, 58 - 1) = "0", OFFSET($A$1, 19 - 1, 59 - 1) = "1" ), 3, 4 ) ) )</f>
        <v>2</v>
      </c>
    </row>
    <row r="20" spans="3:60" x14ac:dyDescent="0.25">
      <c r="C20" s="11" t="s">
        <v>83</v>
      </c>
      <c r="D20" s="12"/>
      <c r="E20" s="12"/>
      <c r="F20" s="13"/>
      <c r="AZ20" s="7">
        <v>0.24391443341884703</v>
      </c>
      <c r="BA20" s="7" t="str">
        <f>"0"</f>
        <v>0</v>
      </c>
      <c r="BB20" t="str">
        <f ca="1">IF((OFFSET($A$1, 20 - 1, 52 - 1)) &gt;= (OFFSET($A$1, 84 - 1, 7 - 1)), "1","0")</f>
        <v>0</v>
      </c>
      <c r="BC20">
        <f ca="1" xml:space="preserve"> IF( AND( OFFSET($A$1, 20 - 1, 53 - 1) = "1", OFFSET($A$1, 20 - 1, 54 - 1) = "1" ), 1, IF( AND( OFFSET($A$1, 20 - 1, 53 - 1) = "1", OFFSET($A$1, 20 - 1, 54 - 1) = "0" ), 2, IF( AND( OFFSET($A$1, 20 - 1, 53 - 1) = "0", OFFSET($A$1, 20 - 1, 54 - 1) = "1" ), 3, 4 ) ) )</f>
        <v>4</v>
      </c>
      <c r="BE20" s="7">
        <v>0.17822901051272877</v>
      </c>
      <c r="BF20" s="7" t="str">
        <f>"0"</f>
        <v>0</v>
      </c>
      <c r="BG20" t="str">
        <f ca="1">IF((OFFSET($A$1, 20 - 1, 57 - 1)) &gt;= (OFFSET($A$1, 108 - 1, 7 - 1)), "1","0")</f>
        <v>0</v>
      </c>
      <c r="BH20">
        <f ca="1" xml:space="preserve"> IF( AND( OFFSET($A$1, 20 - 1, 58 - 1) = "1", OFFSET($A$1, 20 - 1, 59 - 1) = "1" ), 1, IF( AND( OFFSET($A$1, 20 - 1, 58 - 1) = "1", OFFSET($A$1, 20 - 1, 59 - 1) = "0" ), 2, IF( AND( OFFSET($A$1, 20 - 1, 58 - 1) = "0", OFFSET($A$1, 20 - 1, 59 - 1) = "1" ), 3, 4 ) ) )</f>
        <v>4</v>
      </c>
    </row>
    <row r="21" spans="3:60" x14ac:dyDescent="0.25">
      <c r="C21" s="14" t="s">
        <v>84</v>
      </c>
      <c r="D21" s="16"/>
      <c r="E21" s="20">
        <v>2</v>
      </c>
      <c r="F21" s="22"/>
      <c r="AZ21" s="7">
        <v>0.1505784496574139</v>
      </c>
      <c r="BA21" s="7" t="str">
        <f>"0"</f>
        <v>0</v>
      </c>
      <c r="BB21" t="str">
        <f ca="1">IF((OFFSET($A$1, 21 - 1, 52 - 1)) &gt;= (OFFSET($A$1, 84 - 1, 7 - 1)), "1","0")</f>
        <v>0</v>
      </c>
      <c r="BC21">
        <f ca="1" xml:space="preserve"> IF( AND( OFFSET($A$1, 21 - 1, 53 - 1) = "1", OFFSET($A$1, 21 - 1, 54 - 1) = "1" ), 1, IF( AND( OFFSET($A$1, 21 - 1, 53 - 1) = "1", OFFSET($A$1, 21 - 1, 54 - 1) = "0" ), 2, IF( AND( OFFSET($A$1, 21 - 1, 53 - 1) = "0", OFFSET($A$1, 21 - 1, 54 - 1) = "1" ), 3, 4 ) ) )</f>
        <v>4</v>
      </c>
      <c r="BE21" s="7">
        <v>0.18008266591146496</v>
      </c>
      <c r="BF21" s="7" t="str">
        <f>"1"</f>
        <v>1</v>
      </c>
      <c r="BG21" t="str">
        <f ca="1">IF((OFFSET($A$1, 21 - 1, 57 - 1)) &gt;= (OFFSET($A$1, 108 - 1, 7 - 1)), "1","0")</f>
        <v>0</v>
      </c>
      <c r="BH21">
        <f ca="1" xml:space="preserve"> IF( AND( OFFSET($A$1, 21 - 1, 58 - 1) = "1", OFFSET($A$1, 21 - 1, 59 - 1) = "1" ), 1, IF( AND( OFFSET($A$1, 21 - 1, 58 - 1) = "1", OFFSET($A$1, 21 - 1, 59 - 1) = "0" ), 2, IF( AND( OFFSET($A$1, 21 - 1, 58 - 1) = "0", OFFSET($A$1, 21 - 1, 59 - 1) = "1" ), 3, 4 ) ) )</f>
        <v>2</v>
      </c>
    </row>
    <row r="22" spans="3:60" x14ac:dyDescent="0.25">
      <c r="C22" s="14" t="s">
        <v>85</v>
      </c>
      <c r="D22" s="16"/>
      <c r="E22" s="7" t="s">
        <v>0</v>
      </c>
      <c r="F22" s="7" t="s">
        <v>2</v>
      </c>
      <c r="AZ22" s="7">
        <v>0.2497727342920856</v>
      </c>
      <c r="BA22" s="7" t="str">
        <f>"1"</f>
        <v>1</v>
      </c>
      <c r="BB22" t="str">
        <f ca="1">IF((OFFSET($A$1, 22 - 1, 52 - 1)) &gt;= (OFFSET($A$1, 84 - 1, 7 - 1)), "1","0")</f>
        <v>0</v>
      </c>
      <c r="BC22">
        <f ca="1" xml:space="preserve"> IF( AND( OFFSET($A$1, 22 - 1, 53 - 1) = "1", OFFSET($A$1, 22 - 1, 54 - 1) = "1" ), 1, IF( AND( OFFSET($A$1, 22 - 1, 53 - 1) = "1", OFFSET($A$1, 22 - 1, 54 - 1) = "0" ), 2, IF( AND( OFFSET($A$1, 22 - 1, 53 - 1) = "0", OFFSET($A$1, 22 - 1, 54 - 1) = "1" ), 3, 4 ) ) )</f>
        <v>2</v>
      </c>
      <c r="BE22" s="7">
        <v>0.17639033066452067</v>
      </c>
      <c r="BF22" s="7" t="str">
        <f>"0"</f>
        <v>0</v>
      </c>
      <c r="BG22" t="str">
        <f ca="1">IF((OFFSET($A$1, 22 - 1, 57 - 1)) &gt;= (OFFSET($A$1, 108 - 1, 7 - 1)), "1","0")</f>
        <v>0</v>
      </c>
      <c r="BH22">
        <f ca="1" xml:space="preserve"> IF( AND( OFFSET($A$1, 22 - 1, 58 - 1) = "1", OFFSET($A$1, 22 - 1, 59 - 1) = "1" ), 1, IF( AND( OFFSET($A$1, 22 - 1, 58 - 1) = "1", OFFSET($A$1, 22 - 1, 59 - 1) = "0" ), 2, IF( AND( OFFSET($A$1, 22 - 1, 58 - 1) = "0", OFFSET($A$1, 22 - 1, 59 - 1) = "1" ), 3, 4 ) ) )</f>
        <v>4</v>
      </c>
    </row>
    <row r="23" spans="3:60" x14ac:dyDescent="0.25">
      <c r="C23" s="14" t="s">
        <v>86</v>
      </c>
      <c r="D23" s="16"/>
      <c r="E23" s="17" t="s">
        <v>3</v>
      </c>
      <c r="F23" s="19"/>
      <c r="AZ23" s="7">
        <v>0.18573382262887414</v>
      </c>
      <c r="BA23" s="7" t="str">
        <f>"1"</f>
        <v>1</v>
      </c>
      <c r="BB23" t="str">
        <f ca="1">IF((OFFSET($A$1, 23 - 1, 52 - 1)) &gt;= (OFFSET($A$1, 84 - 1, 7 - 1)), "1","0")</f>
        <v>0</v>
      </c>
      <c r="BC23">
        <f ca="1" xml:space="preserve"> IF( AND( OFFSET($A$1, 23 - 1, 53 - 1) = "1", OFFSET($A$1, 23 - 1, 54 - 1) = "1" ), 1, IF( AND( OFFSET($A$1, 23 - 1, 53 - 1) = "1", OFFSET($A$1, 23 - 1, 54 - 1) = "0" ), 2, IF( AND( OFFSET($A$1, 23 - 1, 53 - 1) = "0", OFFSET($A$1, 23 - 1, 54 - 1) = "1" ), 3, 4 ) ) )</f>
        <v>2</v>
      </c>
      <c r="BE23" s="7">
        <v>0.11326664100479339</v>
      </c>
      <c r="BF23" s="7" t="str">
        <f>"0"</f>
        <v>0</v>
      </c>
      <c r="BG23" t="str">
        <f ca="1">IF((OFFSET($A$1, 23 - 1, 57 - 1)) &gt;= (OFFSET($A$1, 108 - 1, 7 - 1)), "1","0")</f>
        <v>0</v>
      </c>
      <c r="BH23">
        <f ca="1" xml:space="preserve"> IF( AND( OFFSET($A$1, 23 - 1, 58 - 1) = "1", OFFSET($A$1, 23 - 1, 59 - 1) = "1" ), 1, IF( AND( OFFSET($A$1, 23 - 1, 58 - 1) = "1", OFFSET($A$1, 23 - 1, 59 - 1) = "0" ), 2, IF( AND( OFFSET($A$1, 23 - 1, 58 - 1) = "0", OFFSET($A$1, 23 - 1, 59 - 1) = "1" ), 3, 4 ) ) )</f>
        <v>4</v>
      </c>
    </row>
    <row r="24" spans="3:60" x14ac:dyDescent="0.25">
      <c r="AZ24" s="7">
        <v>0.17366030983475642</v>
      </c>
      <c r="BA24" s="7" t="str">
        <f>"0"</f>
        <v>0</v>
      </c>
      <c r="BB24" t="str">
        <f ca="1">IF((OFFSET($A$1, 24 - 1, 52 - 1)) &gt;= (OFFSET($A$1, 84 - 1, 7 - 1)), "1","0")</f>
        <v>0</v>
      </c>
      <c r="BC24">
        <f ca="1" xml:space="preserve"> IF( AND( OFFSET($A$1, 24 - 1, 53 - 1) = "1", OFFSET($A$1, 24 - 1, 54 - 1) = "1" ), 1, IF( AND( OFFSET($A$1, 24 - 1, 53 - 1) = "1", OFFSET($A$1, 24 - 1, 54 - 1) = "0" ), 2, IF( AND( OFFSET($A$1, 24 - 1, 53 - 1) = "0", OFFSET($A$1, 24 - 1, 54 - 1) = "1" ), 3, 4 ) ) )</f>
        <v>4</v>
      </c>
      <c r="BE24" s="7">
        <v>0.22470084861010764</v>
      </c>
      <c r="BF24" s="7" t="str">
        <f>"0"</f>
        <v>0</v>
      </c>
      <c r="BG24" t="str">
        <f ca="1">IF((OFFSET($A$1, 24 - 1, 57 - 1)) &gt;= (OFFSET($A$1, 108 - 1, 7 - 1)), "1","0")</f>
        <v>0</v>
      </c>
      <c r="BH24">
        <f ca="1" xml:space="preserve"> IF( AND( OFFSET($A$1, 24 - 1, 58 - 1) = "1", OFFSET($A$1, 24 - 1, 59 - 1) = "1" ), 1, IF( AND( OFFSET($A$1, 24 - 1, 58 - 1) = "1", OFFSET($A$1, 24 - 1, 59 - 1) = "0" ), 2, IF( AND( OFFSET($A$1, 24 - 1, 58 - 1) = "0", OFFSET($A$1, 24 - 1, 59 - 1) = "1" ), 3, 4 ) ) )</f>
        <v>4</v>
      </c>
    </row>
    <row r="25" spans="3:60" x14ac:dyDescent="0.25">
      <c r="C25" s="11" t="s">
        <v>87</v>
      </c>
      <c r="D25" s="12"/>
      <c r="E25" s="12"/>
      <c r="F25" s="12"/>
      <c r="G25" s="12"/>
      <c r="H25" s="12"/>
      <c r="I25" s="12"/>
      <c r="J25" s="13"/>
      <c r="AZ25" s="7">
        <v>0.10447499199941576</v>
      </c>
      <c r="BA25" s="7" t="str">
        <f>"0"</f>
        <v>0</v>
      </c>
      <c r="BB25" t="str">
        <f ca="1">IF((OFFSET($A$1, 25 - 1, 52 - 1)) &gt;= (OFFSET($A$1, 84 - 1, 7 - 1)), "1","0")</f>
        <v>0</v>
      </c>
      <c r="BC25">
        <f ca="1" xml:space="preserve"> IF( AND( OFFSET($A$1, 25 - 1, 53 - 1) = "1", OFFSET($A$1, 25 - 1, 54 - 1) = "1" ), 1, IF( AND( OFFSET($A$1, 25 - 1, 53 - 1) = "1", OFFSET($A$1, 25 - 1, 54 - 1) = "0" ), 2, IF( AND( OFFSET($A$1, 25 - 1, 53 - 1) = "0", OFFSET($A$1, 25 - 1, 54 - 1) = "1" ), 3, 4 ) ) )</f>
        <v>4</v>
      </c>
      <c r="BE25" s="7">
        <v>0.21710860581426084</v>
      </c>
      <c r="BF25" s="7" t="str">
        <f>"1"</f>
        <v>1</v>
      </c>
      <c r="BG25" t="str">
        <f ca="1">IF((OFFSET($A$1, 25 - 1, 57 - 1)) &gt;= (OFFSET($A$1, 108 - 1, 7 - 1)), "1","0")</f>
        <v>0</v>
      </c>
      <c r="BH25">
        <f ca="1" xml:space="preserve"> IF( AND( OFFSET($A$1, 25 - 1, 58 - 1) = "1", OFFSET($A$1, 25 - 1, 59 - 1) = "1" ), 1, IF( AND( OFFSET($A$1, 25 - 1, 58 - 1) = "1", OFFSET($A$1, 25 - 1, 59 - 1) = "0" ), 2, IF( AND( OFFSET($A$1, 25 - 1, 58 - 1) = "0", OFFSET($A$1, 25 - 1, 59 - 1) = "1" ), 3, 4 ) ) )</f>
        <v>2</v>
      </c>
    </row>
    <row r="26" spans="3:60" x14ac:dyDescent="0.25">
      <c r="C26" s="14" t="s">
        <v>88</v>
      </c>
      <c r="D26" s="15"/>
      <c r="E26" s="15"/>
      <c r="F26" s="16"/>
      <c r="G26" s="20" t="s">
        <v>89</v>
      </c>
      <c r="H26" s="21"/>
      <c r="I26" s="21"/>
      <c r="J26" s="22"/>
      <c r="AZ26" s="7">
        <v>0.19054691292786108</v>
      </c>
      <c r="BA26" s="7" t="str">
        <f>"0"</f>
        <v>0</v>
      </c>
      <c r="BB26" t="str">
        <f ca="1">IF((OFFSET($A$1, 26 - 1, 52 - 1)) &gt;= (OFFSET($A$1, 84 - 1, 7 - 1)), "1","0")</f>
        <v>0</v>
      </c>
      <c r="BC26">
        <f ca="1" xml:space="preserve"> IF( AND( OFFSET($A$1, 26 - 1, 53 - 1) = "1", OFFSET($A$1, 26 - 1, 54 - 1) = "1" ), 1, IF( AND( OFFSET($A$1, 26 - 1, 53 - 1) = "1", OFFSET($A$1, 26 - 1, 54 - 1) = "0" ), 2, IF( AND( OFFSET($A$1, 26 - 1, 53 - 1) = "0", OFFSET($A$1, 26 - 1, 54 - 1) = "1" ), 3, 4 ) ) )</f>
        <v>4</v>
      </c>
      <c r="BE26" s="7">
        <v>0.19017266356241072</v>
      </c>
      <c r="BF26" s="7" t="str">
        <f>"0"</f>
        <v>0</v>
      </c>
      <c r="BG26" t="str">
        <f ca="1">IF((OFFSET($A$1, 26 - 1, 57 - 1)) &gt;= (OFFSET($A$1, 108 - 1, 7 - 1)), "1","0")</f>
        <v>0</v>
      </c>
      <c r="BH26">
        <f ca="1" xml:space="preserve"> IF( AND( OFFSET($A$1, 26 - 1, 58 - 1) = "1", OFFSET($A$1, 26 - 1, 59 - 1) = "1" ), 1, IF( AND( OFFSET($A$1, 26 - 1, 58 - 1) = "1", OFFSET($A$1, 26 - 1, 59 - 1) = "0" ), 2, IF( AND( OFFSET($A$1, 26 - 1, 58 - 1) = "0", OFFSET($A$1, 26 - 1, 59 - 1) = "1" ), 3, 4 ) ) )</f>
        <v>4</v>
      </c>
    </row>
    <row r="27" spans="3:60" x14ac:dyDescent="0.25">
      <c r="C27" s="14" t="s">
        <v>90</v>
      </c>
      <c r="D27" s="15"/>
      <c r="E27" s="15"/>
      <c r="F27" s="16"/>
      <c r="G27" s="20">
        <v>95</v>
      </c>
      <c r="H27" s="21"/>
      <c r="I27" s="21"/>
      <c r="J27" s="22"/>
      <c r="AZ27" s="7">
        <v>0.16830057556214764</v>
      </c>
      <c r="BA27" s="7" t="str">
        <f>"0"</f>
        <v>0</v>
      </c>
      <c r="BB27" t="str">
        <f ca="1">IF((OFFSET($A$1, 27 - 1, 52 - 1)) &gt;= (OFFSET($A$1, 84 - 1, 7 - 1)), "1","0")</f>
        <v>0</v>
      </c>
      <c r="BC27">
        <f ca="1" xml:space="preserve"> IF( AND( OFFSET($A$1, 27 - 1, 53 - 1) = "1", OFFSET($A$1, 27 - 1, 54 - 1) = "1" ), 1, IF( AND( OFFSET($A$1, 27 - 1, 53 - 1) = "1", OFFSET($A$1, 27 - 1, 54 - 1) = "0" ), 2, IF( AND( OFFSET($A$1, 27 - 1, 53 - 1) = "0", OFFSET($A$1, 27 - 1, 54 - 1) = "1" ), 3, 4 ) ) )</f>
        <v>4</v>
      </c>
      <c r="BE27" s="7">
        <v>0.11949687864632154</v>
      </c>
      <c r="BF27" s="7" t="str">
        <f>"0"</f>
        <v>0</v>
      </c>
      <c r="BG27" t="str">
        <f ca="1">IF((OFFSET($A$1, 27 - 1, 57 - 1)) &gt;= (OFFSET($A$1, 108 - 1, 7 - 1)), "1","0")</f>
        <v>0</v>
      </c>
      <c r="BH27">
        <f ca="1" xml:space="preserve"> IF( AND( OFFSET($A$1, 27 - 1, 58 - 1) = "1", OFFSET($A$1, 27 - 1, 59 - 1) = "1" ), 1, IF( AND( OFFSET($A$1, 27 - 1, 58 - 1) = "1", OFFSET($A$1, 27 - 1, 59 - 1) = "0" ), 2, IF( AND( OFFSET($A$1, 27 - 1, 58 - 1) = "0", OFFSET($A$1, 27 - 1, 59 - 1) = "1" ), 3, 4 ) ) )</f>
        <v>4</v>
      </c>
    </row>
    <row r="28" spans="3:60" x14ac:dyDescent="0.25">
      <c r="C28" s="14" t="s">
        <v>91</v>
      </c>
      <c r="D28" s="15"/>
      <c r="E28" s="15"/>
      <c r="F28" s="16"/>
      <c r="G28" s="20">
        <v>50</v>
      </c>
      <c r="H28" s="21"/>
      <c r="I28" s="21"/>
      <c r="J28" s="22"/>
      <c r="AZ28" s="7">
        <v>0.16830057556214764</v>
      </c>
      <c r="BA28" s="7" t="str">
        <f>"0"</f>
        <v>0</v>
      </c>
      <c r="BB28" t="str">
        <f ca="1">IF((OFFSET($A$1, 28 - 1, 52 - 1)) &gt;= (OFFSET($A$1, 84 - 1, 7 - 1)), "1","0")</f>
        <v>0</v>
      </c>
      <c r="BC28">
        <f ca="1" xml:space="preserve"> IF( AND( OFFSET($A$1, 28 - 1, 53 - 1) = "1", OFFSET($A$1, 28 - 1, 54 - 1) = "1" ), 1, IF( AND( OFFSET($A$1, 28 - 1, 53 - 1) = "1", OFFSET($A$1, 28 - 1, 54 - 1) = "0" ), 2, IF( AND( OFFSET($A$1, 28 - 1, 53 - 1) = "0", OFFSET($A$1, 28 - 1, 54 - 1) = "1" ), 3, 4 ) ) )</f>
        <v>4</v>
      </c>
      <c r="BE28" s="7">
        <v>0.19249866972239305</v>
      </c>
      <c r="BF28" s="7" t="str">
        <f>"0"</f>
        <v>0</v>
      </c>
      <c r="BG28" t="str">
        <f ca="1">IF((OFFSET($A$1, 28 - 1, 57 - 1)) &gt;= (OFFSET($A$1, 108 - 1, 7 - 1)), "1","0")</f>
        <v>0</v>
      </c>
      <c r="BH28">
        <f ca="1" xml:space="preserve"> IF( AND( OFFSET($A$1, 28 - 1, 58 - 1) = "1", OFFSET($A$1, 28 - 1, 59 - 1) = "1" ), 1, IF( AND( OFFSET($A$1, 28 - 1, 58 - 1) = "1", OFFSET($A$1, 28 - 1, 59 - 1) = "0" ), 2, IF( AND( OFFSET($A$1, 28 - 1, 58 - 1) = "0", OFFSET($A$1, 28 - 1, 59 - 1) = "1" ), 3, 4 ) ) )</f>
        <v>4</v>
      </c>
    </row>
    <row r="29" spans="3:60" x14ac:dyDescent="0.25">
      <c r="C29" s="14" t="s">
        <v>92</v>
      </c>
      <c r="D29" s="15"/>
      <c r="E29" s="15"/>
      <c r="F29" s="16"/>
      <c r="G29" s="20" t="s">
        <v>93</v>
      </c>
      <c r="H29" s="21"/>
      <c r="I29" s="21"/>
      <c r="J29" s="22"/>
      <c r="AZ29" s="7">
        <v>0.14659210196028538</v>
      </c>
      <c r="BA29" s="7" t="str">
        <f>"0"</f>
        <v>0</v>
      </c>
      <c r="BB29" t="str">
        <f ca="1">IF((OFFSET($A$1, 29 - 1, 52 - 1)) &gt;= (OFFSET($A$1, 84 - 1, 7 - 1)), "1","0")</f>
        <v>0</v>
      </c>
      <c r="BC29">
        <f ca="1" xml:space="preserve"> IF( AND( OFFSET($A$1, 29 - 1, 53 - 1) = "1", OFFSET($A$1, 29 - 1, 54 - 1) = "1" ), 1, IF( AND( OFFSET($A$1, 29 - 1, 53 - 1) = "1", OFFSET($A$1, 29 - 1, 54 - 1) = "0" ), 2, IF( AND( OFFSET($A$1, 29 - 1, 53 - 1) = "0", OFFSET($A$1, 29 - 1, 54 - 1) = "1" ), 3, 4 ) ) )</f>
        <v>4</v>
      </c>
      <c r="BE29" s="7">
        <v>0.19744455577570397</v>
      </c>
      <c r="BF29" s="7" t="str">
        <f>"0"</f>
        <v>0</v>
      </c>
      <c r="BG29" t="str">
        <f ca="1">IF((OFFSET($A$1, 29 - 1, 57 - 1)) &gt;= (OFFSET($A$1, 108 - 1, 7 - 1)), "1","0")</f>
        <v>0</v>
      </c>
      <c r="BH29">
        <f ca="1" xml:space="preserve"> IF( AND( OFFSET($A$1, 29 - 1, 58 - 1) = "1", OFFSET($A$1, 29 - 1, 59 - 1) = "1" ), 1, IF( AND( OFFSET($A$1, 29 - 1, 58 - 1) = "1", OFFSET($A$1, 29 - 1, 59 - 1) = "0" ), 2, IF( AND( OFFSET($A$1, 29 - 1, 58 - 1) = "0", OFFSET($A$1, 29 - 1, 59 - 1) = "1" ), 3, 4 ) ) )</f>
        <v>4</v>
      </c>
    </row>
    <row r="30" spans="3:60" x14ac:dyDescent="0.25">
      <c r="C30" s="14" t="s">
        <v>94</v>
      </c>
      <c r="D30" s="15"/>
      <c r="E30" s="15"/>
      <c r="F30" s="16"/>
      <c r="G30" s="20">
        <v>2</v>
      </c>
      <c r="H30" s="21"/>
      <c r="I30" s="21"/>
      <c r="J30" s="22"/>
      <c r="AZ30" s="7">
        <v>0.15269836682258756</v>
      </c>
      <c r="BA30" s="7" t="str">
        <f>"0"</f>
        <v>0</v>
      </c>
      <c r="BB30" t="str">
        <f ca="1">IF((OFFSET($A$1, 30 - 1, 52 - 1)) &gt;= (OFFSET($A$1, 84 - 1, 7 - 1)), "1","0")</f>
        <v>0</v>
      </c>
      <c r="BC30">
        <f ca="1" xml:space="preserve"> IF( AND( OFFSET($A$1, 30 - 1, 53 - 1) = "1", OFFSET($A$1, 30 - 1, 54 - 1) = "1" ), 1, IF( AND( OFFSET($A$1, 30 - 1, 53 - 1) = "1", OFFSET($A$1, 30 - 1, 54 - 1) = "0" ), 2, IF( AND( OFFSET($A$1, 30 - 1, 53 - 1) = "0", OFFSET($A$1, 30 - 1, 54 - 1) = "1" ), 3, 4 ) ) )</f>
        <v>4</v>
      </c>
      <c r="BE30" s="7">
        <v>0.16796095339276548</v>
      </c>
      <c r="BF30" s="7" t="str">
        <f>"0"</f>
        <v>0</v>
      </c>
      <c r="BG30" t="str">
        <f ca="1">IF((OFFSET($A$1, 30 - 1, 57 - 1)) &gt;= (OFFSET($A$1, 108 - 1, 7 - 1)), "1","0")</f>
        <v>0</v>
      </c>
      <c r="BH30">
        <f ca="1" xml:space="preserve"> IF( AND( OFFSET($A$1, 30 - 1, 58 - 1) = "1", OFFSET($A$1, 30 - 1, 59 - 1) = "1" ), 1, IF( AND( OFFSET($A$1, 30 - 1, 58 - 1) = "1", OFFSET($A$1, 30 - 1, 59 - 1) = "0" ), 2, IF( AND( OFFSET($A$1, 30 - 1, 58 - 1) = "0", OFFSET($A$1, 30 - 1, 59 - 1) = "1" ), 3, 4 ) ) )</f>
        <v>4</v>
      </c>
    </row>
    <row r="31" spans="3:60" x14ac:dyDescent="0.25">
      <c r="C31" s="14" t="s">
        <v>95</v>
      </c>
      <c r="D31" s="15"/>
      <c r="E31" s="15"/>
      <c r="F31" s="16"/>
      <c r="G31" s="20">
        <v>2</v>
      </c>
      <c r="H31" s="21"/>
      <c r="I31" s="21"/>
      <c r="J31" s="22"/>
      <c r="AZ31" s="7">
        <v>0.13709368992907509</v>
      </c>
      <c r="BA31" s="7" t="str">
        <f>"0"</f>
        <v>0</v>
      </c>
      <c r="BB31" t="str">
        <f ca="1">IF((OFFSET($A$1, 31 - 1, 52 - 1)) &gt;= (OFFSET($A$1, 84 - 1, 7 - 1)), "1","0")</f>
        <v>0</v>
      </c>
      <c r="BC31">
        <f ca="1" xml:space="preserve"> IF( AND( OFFSET($A$1, 31 - 1, 53 - 1) = "1", OFFSET($A$1, 31 - 1, 54 - 1) = "1" ), 1, IF( AND( OFFSET($A$1, 31 - 1, 53 - 1) = "1", OFFSET($A$1, 31 - 1, 54 - 1) = "0" ), 2, IF( AND( OFFSET($A$1, 31 - 1, 53 - 1) = "0", OFFSET($A$1, 31 - 1, 54 - 1) = "1" ), 3, 4 ) ) )</f>
        <v>4</v>
      </c>
      <c r="BE31" s="7">
        <v>0.21391206138959956</v>
      </c>
      <c r="BF31" s="7" t="str">
        <f>"0"</f>
        <v>0</v>
      </c>
      <c r="BG31" t="str">
        <f ca="1">IF((OFFSET($A$1, 31 - 1, 57 - 1)) &gt;= (OFFSET($A$1, 108 - 1, 7 - 1)), "1","0")</f>
        <v>0</v>
      </c>
      <c r="BH31">
        <f ca="1" xml:space="preserve"> IF( AND( OFFSET($A$1, 31 - 1, 58 - 1) = "1", OFFSET($A$1, 31 - 1, 59 - 1) = "1" ), 1, IF( AND( OFFSET($A$1, 31 - 1, 58 - 1) = "1", OFFSET($A$1, 31 - 1, 59 - 1) = "0" ), 2, IF( AND( OFFSET($A$1, 31 - 1, 58 - 1) = "0", OFFSET($A$1, 31 - 1, 59 - 1) = "1" ), 3, 4 ) ) )</f>
        <v>4</v>
      </c>
    </row>
    <row r="32" spans="3:60" x14ac:dyDescent="0.25">
      <c r="C32" s="14" t="s">
        <v>96</v>
      </c>
      <c r="D32" s="15"/>
      <c r="E32" s="15"/>
      <c r="F32" s="16"/>
      <c r="G32" s="33" t="s">
        <v>97</v>
      </c>
      <c r="H32" s="34"/>
      <c r="I32" s="34"/>
      <c r="J32" s="35"/>
      <c r="AZ32" s="7">
        <v>0.18957672354436336</v>
      </c>
      <c r="BA32" s="7" t="str">
        <f>"0"</f>
        <v>0</v>
      </c>
      <c r="BB32" t="str">
        <f ca="1">IF((OFFSET($A$1, 32 - 1, 52 - 1)) &gt;= (OFFSET($A$1, 84 - 1, 7 - 1)), "1","0")</f>
        <v>0</v>
      </c>
      <c r="BC32">
        <f ca="1" xml:space="preserve"> IF( AND( OFFSET($A$1, 32 - 1, 53 - 1) = "1", OFFSET($A$1, 32 - 1, 54 - 1) = "1" ), 1, IF( AND( OFFSET($A$1, 32 - 1, 53 - 1) = "1", OFFSET($A$1, 32 - 1, 54 - 1) = "0" ), 2, IF( AND( OFFSET($A$1, 32 - 1, 53 - 1) = "0", OFFSET($A$1, 32 - 1, 54 - 1) = "1" ), 3, 4 ) ) )</f>
        <v>4</v>
      </c>
      <c r="BE32" s="7">
        <v>0.28427464490531945</v>
      </c>
      <c r="BF32" s="7" t="str">
        <f>"0"</f>
        <v>0</v>
      </c>
      <c r="BG32" t="str">
        <f ca="1">IF((OFFSET($A$1, 32 - 1, 57 - 1)) &gt;= (OFFSET($A$1, 108 - 1, 7 - 1)), "1","0")</f>
        <v>0</v>
      </c>
      <c r="BH32">
        <f ca="1" xml:space="preserve"> IF( AND( OFFSET($A$1, 32 - 1, 58 - 1) = "1", OFFSET($A$1, 32 - 1, 59 - 1) = "1" ), 1, IF( AND( OFFSET($A$1, 32 - 1, 58 - 1) = "1", OFFSET($A$1, 32 - 1, 59 - 1) = "0" ), 2, IF( AND( OFFSET($A$1, 32 - 1, 58 - 1) = "0", OFFSET($A$1, 32 - 1, 59 - 1) = "1" ), 3, 4 ) ) )</f>
        <v>4</v>
      </c>
    </row>
    <row r="33" spans="2:60" x14ac:dyDescent="0.25">
      <c r="C33" s="14" t="s">
        <v>98</v>
      </c>
      <c r="D33" s="15"/>
      <c r="E33" s="15"/>
      <c r="F33" s="16"/>
      <c r="G33" s="20" t="s">
        <v>89</v>
      </c>
      <c r="H33" s="21"/>
      <c r="I33" s="21"/>
      <c r="J33" s="22"/>
      <c r="AZ33" s="7">
        <v>0.20146980513632695</v>
      </c>
      <c r="BA33" s="7" t="str">
        <f>"0"</f>
        <v>0</v>
      </c>
      <c r="BB33" t="str">
        <f ca="1">IF((OFFSET($A$1, 33 - 1, 52 - 1)) &gt;= (OFFSET($A$1, 84 - 1, 7 - 1)), "1","0")</f>
        <v>0</v>
      </c>
      <c r="BC33">
        <f ca="1" xml:space="preserve"> IF( AND( OFFSET($A$1, 33 - 1, 53 - 1) = "1", OFFSET($A$1, 33 - 1, 54 - 1) = "1" ), 1, IF( AND( OFFSET($A$1, 33 - 1, 53 - 1) = "1", OFFSET($A$1, 33 - 1, 54 - 1) = "0" ), 2, IF( AND( OFFSET($A$1, 33 - 1, 53 - 1) = "0", OFFSET($A$1, 33 - 1, 54 - 1) = "1" ), 3, 4 ) ) )</f>
        <v>4</v>
      </c>
      <c r="BE33" s="7">
        <v>0.17096377115387074</v>
      </c>
      <c r="BF33" s="7" t="str">
        <f>"0"</f>
        <v>0</v>
      </c>
      <c r="BG33" t="str">
        <f ca="1">IF((OFFSET($A$1, 33 - 1, 57 - 1)) &gt;= (OFFSET($A$1, 108 - 1, 7 - 1)), "1","0")</f>
        <v>0</v>
      </c>
      <c r="BH33">
        <f ca="1" xml:space="preserve"> IF( AND( OFFSET($A$1, 33 - 1, 58 - 1) = "1", OFFSET($A$1, 33 - 1, 59 - 1) = "1" ), 1, IF( AND( OFFSET($A$1, 33 - 1, 58 - 1) = "1", OFFSET($A$1, 33 - 1, 59 - 1) = "0" ), 2, IF( AND( OFFSET($A$1, 33 - 1, 58 - 1) = "0", OFFSET($A$1, 33 - 1, 59 - 1) = "1" ), 3, 4 ) ) )</f>
        <v>4</v>
      </c>
    </row>
    <row r="34" spans="2:60" x14ac:dyDescent="0.25">
      <c r="C34" s="14" t="s">
        <v>99</v>
      </c>
      <c r="D34" s="15"/>
      <c r="E34" s="15"/>
      <c r="F34" s="16"/>
      <c r="G34" s="20" t="s">
        <v>89</v>
      </c>
      <c r="H34" s="21"/>
      <c r="I34" s="21"/>
      <c r="J34" s="22"/>
      <c r="AZ34" s="7">
        <v>0.21818176131827996</v>
      </c>
      <c r="BA34" s="7" t="str">
        <f>"1"</f>
        <v>1</v>
      </c>
      <c r="BB34" t="str">
        <f ca="1">IF((OFFSET($A$1, 34 - 1, 52 - 1)) &gt;= (OFFSET($A$1, 84 - 1, 7 - 1)), "1","0")</f>
        <v>0</v>
      </c>
      <c r="BC34">
        <f ca="1" xml:space="preserve"> IF( AND( OFFSET($A$1, 34 - 1, 53 - 1) = "1", OFFSET($A$1, 34 - 1, 54 - 1) = "1" ), 1, IF( AND( OFFSET($A$1, 34 - 1, 53 - 1) = "1", OFFSET($A$1, 34 - 1, 54 - 1) = "0" ), 2, IF( AND( OFFSET($A$1, 34 - 1, 53 - 1) = "0", OFFSET($A$1, 34 - 1, 54 - 1) = "1" ), 3, 4 ) ) )</f>
        <v>2</v>
      </c>
      <c r="BE34" s="7">
        <v>0.22360479890457233</v>
      </c>
      <c r="BF34" s="7" t="str">
        <f>"1"</f>
        <v>1</v>
      </c>
      <c r="BG34" t="str">
        <f ca="1">IF((OFFSET($A$1, 34 - 1, 57 - 1)) &gt;= (OFFSET($A$1, 108 - 1, 7 - 1)), "1","0")</f>
        <v>0</v>
      </c>
      <c r="BH34">
        <f ca="1" xml:space="preserve"> IF( AND( OFFSET($A$1, 34 - 1, 58 - 1) = "1", OFFSET($A$1, 34 - 1, 59 - 1) = "1" ), 1, IF( AND( OFFSET($A$1, 34 - 1, 58 - 1) = "1", OFFSET($A$1, 34 - 1, 59 - 1) = "0" ), 2, IF( AND( OFFSET($A$1, 34 - 1, 58 - 1) = "0", OFFSET($A$1, 34 - 1, 59 - 1) = "1" ), 3, 4 ) ) )</f>
        <v>2</v>
      </c>
    </row>
    <row r="35" spans="2:60" x14ac:dyDescent="0.25">
      <c r="AZ35" s="7">
        <v>0.1700723416128419</v>
      </c>
      <c r="BA35" s="7" t="str">
        <f>"0"</f>
        <v>0</v>
      </c>
      <c r="BB35" t="str">
        <f ca="1">IF((OFFSET($A$1, 35 - 1, 52 - 1)) &gt;= (OFFSET($A$1, 84 - 1, 7 - 1)), "1","0")</f>
        <v>0</v>
      </c>
      <c r="BC35">
        <f ca="1" xml:space="preserve"> IF( AND( OFFSET($A$1, 35 - 1, 53 - 1) = "1", OFFSET($A$1, 35 - 1, 54 - 1) = "1" ), 1, IF( AND( OFFSET($A$1, 35 - 1, 53 - 1) = "1", OFFSET($A$1, 35 - 1, 54 - 1) = "0" ), 2, IF( AND( OFFSET($A$1, 35 - 1, 53 - 1) = "0", OFFSET($A$1, 35 - 1, 54 - 1) = "1" ), 3, 4 ) ) )</f>
        <v>4</v>
      </c>
      <c r="BE35" s="7">
        <v>0.27538448420972889</v>
      </c>
      <c r="BF35" s="7" t="str">
        <f>"0"</f>
        <v>0</v>
      </c>
      <c r="BG35" t="str">
        <f ca="1">IF((OFFSET($A$1, 35 - 1, 57 - 1)) &gt;= (OFFSET($A$1, 108 - 1, 7 - 1)), "1","0")</f>
        <v>0</v>
      </c>
      <c r="BH35">
        <f ca="1" xml:space="preserve"> IF( AND( OFFSET($A$1, 35 - 1, 58 - 1) = "1", OFFSET($A$1, 35 - 1, 59 - 1) = "1" ), 1, IF( AND( OFFSET($A$1, 35 - 1, 58 - 1) = "1", OFFSET($A$1, 35 - 1, 59 - 1) = "0" ), 2, IF( AND( OFFSET($A$1, 35 - 1, 58 - 1) = "0", OFFSET($A$1, 35 - 1, 59 - 1) = "1" ), 3, 4 ) ) )</f>
        <v>4</v>
      </c>
    </row>
    <row r="36" spans="2:60" x14ac:dyDescent="0.25">
      <c r="C36" s="11" t="s">
        <v>100</v>
      </c>
      <c r="D36" s="12"/>
      <c r="E36" s="12"/>
      <c r="F36" s="12"/>
      <c r="G36" s="13"/>
      <c r="AZ36" s="7">
        <v>0.17241099806266111</v>
      </c>
      <c r="BA36" s="7" t="str">
        <f>"0"</f>
        <v>0</v>
      </c>
      <c r="BB36" t="str">
        <f ca="1">IF((OFFSET($A$1, 36 - 1, 52 - 1)) &gt;= (OFFSET($A$1, 84 - 1, 7 - 1)), "1","0")</f>
        <v>0</v>
      </c>
      <c r="BC36">
        <f ca="1" xml:space="preserve"> IF( AND( OFFSET($A$1, 36 - 1, 53 - 1) = "1", OFFSET($A$1, 36 - 1, 54 - 1) = "1" ), 1, IF( AND( OFFSET($A$1, 36 - 1, 53 - 1) = "1", OFFSET($A$1, 36 - 1, 54 - 1) = "0" ), 2, IF( AND( OFFSET($A$1, 36 - 1, 53 - 1) = "0", OFFSET($A$1, 36 - 1, 54 - 1) = "1" ), 3, 4 ) ) )</f>
        <v>4</v>
      </c>
      <c r="BE36" s="7">
        <v>0.16918461156925149</v>
      </c>
      <c r="BF36" s="7" t="str">
        <f>"0"</f>
        <v>0</v>
      </c>
      <c r="BG36" t="str">
        <f ca="1">IF((OFFSET($A$1, 36 - 1, 57 - 1)) &gt;= (OFFSET($A$1, 108 - 1, 7 - 1)), "1","0")</f>
        <v>0</v>
      </c>
      <c r="BH36">
        <f ca="1" xml:space="preserve"> IF( AND( OFFSET($A$1, 36 - 1, 58 - 1) = "1", OFFSET($A$1, 36 - 1, 59 - 1) = "1" ), 1, IF( AND( OFFSET($A$1, 36 - 1, 58 - 1) = "1", OFFSET($A$1, 36 - 1, 59 - 1) = "0" ), 2, IF( AND( OFFSET($A$1, 36 - 1, 58 - 1) = "0", OFFSET($A$1, 36 - 1, 59 - 1) = "1" ), 3, 4 ) ) )</f>
        <v>4</v>
      </c>
    </row>
    <row r="37" spans="2:60" x14ac:dyDescent="0.25">
      <c r="C37" s="17" t="s">
        <v>101</v>
      </c>
      <c r="D37" s="18"/>
      <c r="E37" s="18"/>
      <c r="F37" s="18"/>
      <c r="G37" s="19"/>
      <c r="AZ37" s="7">
        <v>0.21818176131827996</v>
      </c>
      <c r="BA37" s="7" t="str">
        <f>"1"</f>
        <v>1</v>
      </c>
      <c r="BB37" t="str">
        <f ca="1">IF((OFFSET($A$1, 37 - 1, 52 - 1)) &gt;= (OFFSET($A$1, 84 - 1, 7 - 1)), "1","0")</f>
        <v>0</v>
      </c>
      <c r="BC37">
        <f ca="1" xml:space="preserve"> IF( AND( OFFSET($A$1, 37 - 1, 53 - 1) = "1", OFFSET($A$1, 37 - 1, 54 - 1) = "1" ), 1, IF( AND( OFFSET($A$1, 37 - 1, 53 - 1) = "1", OFFSET($A$1, 37 - 1, 54 - 1) = "0" ), 2, IF( AND( OFFSET($A$1, 37 - 1, 53 - 1) = "0", OFFSET($A$1, 37 - 1, 54 - 1) = "1" ), 3, 4 ) ) )</f>
        <v>2</v>
      </c>
      <c r="BE37" s="7">
        <v>0.23929529067762409</v>
      </c>
      <c r="BF37" s="7" t="str">
        <f>"0"</f>
        <v>0</v>
      </c>
      <c r="BG37" t="str">
        <f ca="1">IF((OFFSET($A$1, 37 - 1, 57 - 1)) &gt;= (OFFSET($A$1, 108 - 1, 7 - 1)), "1","0")</f>
        <v>0</v>
      </c>
      <c r="BH37">
        <f ca="1" xml:space="preserve"> IF( AND( OFFSET($A$1, 37 - 1, 58 - 1) = "1", OFFSET($A$1, 37 - 1, 59 - 1) = "1" ), 1, IF( AND( OFFSET($A$1, 37 - 1, 58 - 1) = "1", OFFSET($A$1, 37 - 1, 59 - 1) = "0" ), 2, IF( AND( OFFSET($A$1, 37 - 1, 58 - 1) = "0", OFFSET($A$1, 37 - 1, 59 - 1) = "1" ), 3, 4 ) ) )</f>
        <v>4</v>
      </c>
    </row>
    <row r="38" spans="2:60" x14ac:dyDescent="0.25">
      <c r="C38" s="17" t="s">
        <v>102</v>
      </c>
      <c r="D38" s="18"/>
      <c r="E38" s="18"/>
      <c r="F38" s="18"/>
      <c r="G38" s="19"/>
      <c r="AZ38" s="7">
        <v>0.18632045969106534</v>
      </c>
      <c r="BA38" s="7" t="str">
        <f>"0"</f>
        <v>0</v>
      </c>
      <c r="BB38" t="str">
        <f ca="1">IF((OFFSET($A$1, 38 - 1, 52 - 1)) &gt;= (OFFSET($A$1, 84 - 1, 7 - 1)), "1","0")</f>
        <v>0</v>
      </c>
      <c r="BC38">
        <f ca="1" xml:space="preserve"> IF( AND( OFFSET($A$1, 38 - 1, 53 - 1) = "1", OFFSET($A$1, 38 - 1, 54 - 1) = "1" ), 1, IF( AND( OFFSET($A$1, 38 - 1, 53 - 1) = "1", OFFSET($A$1, 38 - 1, 54 - 1) = "0" ), 2, IF( AND( OFFSET($A$1, 38 - 1, 53 - 1) = "0", OFFSET($A$1, 38 - 1, 54 - 1) = "1" ), 3, 4 ) ) )</f>
        <v>4</v>
      </c>
      <c r="BE38" s="7">
        <v>0.26421104341782214</v>
      </c>
      <c r="BF38" s="7" t="str">
        <f>"1"</f>
        <v>1</v>
      </c>
      <c r="BG38" t="str">
        <f ca="1">IF((OFFSET($A$1, 38 - 1, 57 - 1)) &gt;= (OFFSET($A$1, 108 - 1, 7 - 1)), "1","0")</f>
        <v>0</v>
      </c>
      <c r="BH38">
        <f ca="1" xml:space="preserve"> IF( AND( OFFSET($A$1, 38 - 1, 58 - 1) = "1", OFFSET($A$1, 38 - 1, 59 - 1) = "1" ), 1, IF( AND( OFFSET($A$1, 38 - 1, 58 - 1) = "1", OFFSET($A$1, 38 - 1, 59 - 1) = "0" ), 2, IF( AND( OFFSET($A$1, 38 - 1, 58 - 1) = "0", OFFSET($A$1, 38 - 1, 59 - 1) = "1" ), 3, 4 ) ) )</f>
        <v>2</v>
      </c>
    </row>
    <row r="39" spans="2:60" x14ac:dyDescent="0.25">
      <c r="C39" s="17" t="s">
        <v>103</v>
      </c>
      <c r="D39" s="18"/>
      <c r="E39" s="18"/>
      <c r="F39" s="18"/>
      <c r="G39" s="19"/>
      <c r="AZ39" s="7">
        <v>0.23135707965555613</v>
      </c>
      <c r="BA39" s="7" t="str">
        <f>"1"</f>
        <v>1</v>
      </c>
      <c r="BB39" t="str">
        <f ca="1">IF((OFFSET($A$1, 39 - 1, 52 - 1)) &gt;= (OFFSET($A$1, 84 - 1, 7 - 1)), "1","0")</f>
        <v>0</v>
      </c>
      <c r="BC39">
        <f ca="1" xml:space="preserve"> IF( AND( OFFSET($A$1, 39 - 1, 53 - 1) = "1", OFFSET($A$1, 39 - 1, 54 - 1) = "1" ), 1, IF( AND( OFFSET($A$1, 39 - 1, 53 - 1) = "1", OFFSET($A$1, 39 - 1, 54 - 1) = "0" ), 2, IF( AND( OFFSET($A$1, 39 - 1, 53 - 1) = "0", OFFSET($A$1, 39 - 1, 54 - 1) = "1" ), 3, 4 ) ) )</f>
        <v>2</v>
      </c>
      <c r="BE39" s="7">
        <v>0.18573382262887411</v>
      </c>
      <c r="BF39" s="7" t="str">
        <f>"0"</f>
        <v>0</v>
      </c>
      <c r="BG39" t="str">
        <f ca="1">IF((OFFSET($A$1, 39 - 1, 57 - 1)) &gt;= (OFFSET($A$1, 108 - 1, 7 - 1)), "1","0")</f>
        <v>0</v>
      </c>
      <c r="BH39">
        <f ca="1" xml:space="preserve"> IF( AND( OFFSET($A$1, 39 - 1, 58 - 1) = "1", OFFSET($A$1, 39 - 1, 59 - 1) = "1" ), 1, IF( AND( OFFSET($A$1, 39 - 1, 58 - 1) = "1", OFFSET($A$1, 39 - 1, 59 - 1) = "0" ), 2, IF( AND( OFFSET($A$1, 39 - 1, 58 - 1) = "0", OFFSET($A$1, 39 - 1, 59 - 1) = "1" ), 3, 4 ) ) )</f>
        <v>4</v>
      </c>
    </row>
    <row r="40" spans="2:60" x14ac:dyDescent="0.25">
      <c r="C40" s="17" t="s">
        <v>104</v>
      </c>
      <c r="D40" s="18"/>
      <c r="E40" s="18"/>
      <c r="F40" s="18"/>
      <c r="G40" s="19"/>
      <c r="AZ40" s="7">
        <v>0.14115850466606586</v>
      </c>
      <c r="BA40" s="7" t="str">
        <f>"0"</f>
        <v>0</v>
      </c>
      <c r="BB40" t="str">
        <f ca="1">IF((OFFSET($A$1, 40 - 1, 52 - 1)) &gt;= (OFFSET($A$1, 84 - 1, 7 - 1)), "1","0")</f>
        <v>0</v>
      </c>
      <c r="BC40">
        <f ca="1" xml:space="preserve"> IF( AND( OFFSET($A$1, 40 - 1, 53 - 1) = "1", OFFSET($A$1, 40 - 1, 54 - 1) = "1" ), 1, IF( AND( OFFSET($A$1, 40 - 1, 53 - 1) = "1", OFFSET($A$1, 40 - 1, 54 - 1) = "0" ), 2, IF( AND( OFFSET($A$1, 40 - 1, 53 - 1) = "0", OFFSET($A$1, 40 - 1, 54 - 1) = "1" ), 3, 4 ) ) )</f>
        <v>4</v>
      </c>
      <c r="BE40" s="7">
        <v>0.21180013921452562</v>
      </c>
      <c r="BF40" s="7" t="str">
        <f>"0"</f>
        <v>0</v>
      </c>
      <c r="BG40" t="str">
        <f ca="1">IF((OFFSET($A$1, 40 - 1, 57 - 1)) &gt;= (OFFSET($A$1, 108 - 1, 7 - 1)), "1","0")</f>
        <v>0</v>
      </c>
      <c r="BH40">
        <f ca="1" xml:space="preserve"> IF( AND( OFFSET($A$1, 40 - 1, 58 - 1) = "1", OFFSET($A$1, 40 - 1, 59 - 1) = "1" ), 1, IF( AND( OFFSET($A$1, 40 - 1, 58 - 1) = "1", OFFSET($A$1, 40 - 1, 59 - 1) = "0" ), 2, IF( AND( OFFSET($A$1, 40 - 1, 58 - 1) = "0", OFFSET($A$1, 40 - 1, 59 - 1) = "1" ), 3, 4 ) ) )</f>
        <v>4</v>
      </c>
    </row>
    <row r="41" spans="2:60" x14ac:dyDescent="0.25">
      <c r="AZ41" s="7">
        <v>0.18573382262887414</v>
      </c>
      <c r="BA41" s="7" t="str">
        <f>"1"</f>
        <v>1</v>
      </c>
      <c r="BB41" t="str">
        <f ca="1">IF((OFFSET($A$1, 41 - 1, 52 - 1)) &gt;= (OFFSET($A$1, 84 - 1, 7 - 1)), "1","0")</f>
        <v>0</v>
      </c>
      <c r="BC41">
        <f ca="1" xml:space="preserve"> IF( AND( OFFSET($A$1, 41 - 1, 53 - 1) = "1", OFFSET($A$1, 41 - 1, 54 - 1) = "1" ), 1, IF( AND( OFFSET($A$1, 41 - 1, 53 - 1) = "1", OFFSET($A$1, 41 - 1, 54 - 1) = "0" ), 2, IF( AND( OFFSET($A$1, 41 - 1, 53 - 1) = "0", OFFSET($A$1, 41 - 1, 54 - 1) = "1" ), 3, 4 ) ) )</f>
        <v>2</v>
      </c>
      <c r="BE41" s="7">
        <v>0.24391443341884703</v>
      </c>
      <c r="BF41" s="7" t="str">
        <f>"1"</f>
        <v>1</v>
      </c>
      <c r="BG41" t="str">
        <f ca="1">IF((OFFSET($A$1, 41 - 1, 57 - 1)) &gt;= (OFFSET($A$1, 108 - 1, 7 - 1)), "1","0")</f>
        <v>0</v>
      </c>
      <c r="BH41">
        <f ca="1" xml:space="preserve"> IF( AND( OFFSET($A$1, 41 - 1, 58 - 1) = "1", OFFSET($A$1, 41 - 1, 59 - 1) = "1" ), 1, IF( AND( OFFSET($A$1, 41 - 1, 58 - 1) = "1", OFFSET($A$1, 41 - 1, 59 - 1) = "0" ), 2, IF( AND( OFFSET($A$1, 41 - 1, 58 - 1) = "0", OFFSET($A$1, 41 - 1, 59 - 1) = "1" ), 3, 4 ) ) )</f>
        <v>2</v>
      </c>
    </row>
    <row r="42" spans="2:60" x14ac:dyDescent="0.25">
      <c r="AZ42" s="7">
        <v>0.26298764354760773</v>
      </c>
      <c r="BA42" s="7" t="str">
        <f>"1"</f>
        <v>1</v>
      </c>
      <c r="BB42" t="str">
        <f ca="1">IF((OFFSET($A$1, 42 - 1, 52 - 1)) &gt;= (OFFSET($A$1, 84 - 1, 7 - 1)), "1","0")</f>
        <v>0</v>
      </c>
      <c r="BC42">
        <f ca="1" xml:space="preserve"> IF( AND( OFFSET($A$1, 42 - 1, 53 - 1) = "1", OFFSET($A$1, 42 - 1, 54 - 1) = "1" ), 1, IF( AND( OFFSET($A$1, 42 - 1, 53 - 1) = "1", OFFSET($A$1, 42 - 1, 54 - 1) = "0" ), 2, IF( AND( OFFSET($A$1, 42 - 1, 53 - 1) = "0", OFFSET($A$1, 42 - 1, 54 - 1) = "1" ), 3, 4 ) ) )</f>
        <v>2</v>
      </c>
      <c r="BE42" s="7">
        <v>0.14897331199637348</v>
      </c>
      <c r="BF42" s="7" t="str">
        <f>"0"</f>
        <v>0</v>
      </c>
      <c r="BG42" t="str">
        <f ca="1">IF((OFFSET($A$1, 42 - 1, 57 - 1)) &gt;= (OFFSET($A$1, 108 - 1, 7 - 1)), "1","0")</f>
        <v>0</v>
      </c>
      <c r="BH42">
        <f ca="1" xml:space="preserve"> IF( AND( OFFSET($A$1, 42 - 1, 58 - 1) = "1", OFFSET($A$1, 42 - 1, 59 - 1) = "1" ), 1, IF( AND( OFFSET($A$1, 42 - 1, 58 - 1) = "1", OFFSET($A$1, 42 - 1, 59 - 1) = "0" ), 2, IF( AND( OFFSET($A$1, 42 - 1, 58 - 1) = "0", OFFSET($A$1, 42 - 1, 59 - 1) = "1" ), 3, 4 ) ) )</f>
        <v>4</v>
      </c>
    </row>
    <row r="43" spans="2:60" ht="18.75" x14ac:dyDescent="0.3">
      <c r="B43" s="26" t="s">
        <v>105</v>
      </c>
      <c r="AZ43" s="7">
        <v>0.22912312633397788</v>
      </c>
      <c r="BA43" s="7" t="str">
        <f>"1"</f>
        <v>1</v>
      </c>
      <c r="BB43" t="str">
        <f ca="1">IF((OFFSET($A$1, 43 - 1, 52 - 1)) &gt;= (OFFSET($A$1, 84 - 1, 7 - 1)), "1","0")</f>
        <v>0</v>
      </c>
      <c r="BC43">
        <f ca="1" xml:space="preserve"> IF( AND( OFFSET($A$1, 43 - 1, 53 - 1) = "1", OFFSET($A$1, 43 - 1, 54 - 1) = "1" ), 1, IF( AND( OFFSET($A$1, 43 - 1, 53 - 1) = "1", OFFSET($A$1, 43 - 1, 54 - 1) = "0" ), 2, IF( AND( OFFSET($A$1, 43 - 1, 53 - 1) = "0", OFFSET($A$1, 43 - 1, 54 - 1) = "1" ), 3, 4 ) ) )</f>
        <v>2</v>
      </c>
      <c r="BE43" s="7">
        <v>0.13888182263795479</v>
      </c>
      <c r="BF43" s="7" t="str">
        <f>"0"</f>
        <v>0</v>
      </c>
      <c r="BG43" t="str">
        <f ca="1">IF((OFFSET($A$1, 43 - 1, 57 - 1)) &gt;= (OFFSET($A$1, 108 - 1, 7 - 1)), "1","0")</f>
        <v>0</v>
      </c>
      <c r="BH43">
        <f ca="1" xml:space="preserve"> IF( AND( OFFSET($A$1, 43 - 1, 58 - 1) = "1", OFFSET($A$1, 43 - 1, 59 - 1) = "1" ), 1, IF( AND( OFFSET($A$1, 43 - 1, 58 - 1) = "1", OFFSET($A$1, 43 - 1, 59 - 1) = "0" ), 2, IF( AND( OFFSET($A$1, 43 - 1, 58 - 1) = "0", OFFSET($A$1, 43 - 1, 59 - 1) = "1" ), 3, 4 ) ) )</f>
        <v>4</v>
      </c>
    </row>
    <row r="44" spans="2:60" x14ac:dyDescent="0.25">
      <c r="AZ44" s="7">
        <v>0.12150062143513121</v>
      </c>
      <c r="BA44" s="7" t="str">
        <f>"0"</f>
        <v>0</v>
      </c>
      <c r="BB44" t="str">
        <f ca="1">IF((OFFSET($A$1, 44 - 1, 52 - 1)) &gt;= (OFFSET($A$1, 84 - 1, 7 - 1)), "1","0")</f>
        <v>0</v>
      </c>
      <c r="BC44">
        <f ca="1" xml:space="preserve"> IF( AND( OFFSET($A$1, 44 - 1, 53 - 1) = "1", OFFSET($A$1, 44 - 1, 54 - 1) = "1" ), 1, IF( AND( OFFSET($A$1, 44 - 1, 53 - 1) = "1", OFFSET($A$1, 44 - 1, 54 - 1) = "0" ), 2, IF( AND( OFFSET($A$1, 44 - 1, 53 - 1) = "0", OFFSET($A$1, 44 - 1, 54 - 1) = "1" ), 3, 4 ) ) )</f>
        <v>4</v>
      </c>
      <c r="BE44" s="7">
        <v>0.18478254526686791</v>
      </c>
      <c r="BF44" s="7" t="str">
        <f>"0"</f>
        <v>0</v>
      </c>
      <c r="BG44" t="str">
        <f ca="1">IF((OFFSET($A$1, 44 - 1, 57 - 1)) &gt;= (OFFSET($A$1, 108 - 1, 7 - 1)), "1","0")</f>
        <v>0</v>
      </c>
      <c r="BH44">
        <f ca="1" xml:space="preserve"> IF( AND( OFFSET($A$1, 44 - 1, 58 - 1) = "1", OFFSET($A$1, 44 - 1, 59 - 1) = "1" ), 1, IF( AND( OFFSET($A$1, 44 - 1, 58 - 1) = "1", OFFSET($A$1, 44 - 1, 59 - 1) = "0" ), 2, IF( AND( OFFSET($A$1, 44 - 1, 58 - 1) = "0", OFFSET($A$1, 44 - 1, 59 - 1) = "1" ), 3, 4 ) ) )</f>
        <v>4</v>
      </c>
    </row>
    <row r="45" spans="2:60" x14ac:dyDescent="0.25">
      <c r="C45" s="17" t="s">
        <v>106</v>
      </c>
      <c r="D45" s="18"/>
      <c r="E45" s="18"/>
      <c r="F45" s="18"/>
      <c r="G45" s="19"/>
      <c r="AZ45" s="7">
        <v>0.2766439066661347</v>
      </c>
      <c r="BA45" s="7" t="str">
        <f>"1"</f>
        <v>1</v>
      </c>
      <c r="BB45" t="str">
        <f ca="1">IF((OFFSET($A$1, 45 - 1, 52 - 1)) &gt;= (OFFSET($A$1, 84 - 1, 7 - 1)), "1","0")</f>
        <v>0</v>
      </c>
      <c r="BC45">
        <f ca="1" xml:space="preserve"> IF( AND( OFFSET($A$1, 45 - 1, 53 - 1) = "1", OFFSET($A$1, 45 - 1, 54 - 1) = "1" ), 1, IF( AND( OFFSET($A$1, 45 - 1, 53 - 1) = "1", OFFSET($A$1, 45 - 1, 54 - 1) = "0" ), 2, IF( AND( OFFSET($A$1, 45 - 1, 53 - 1) = "0", OFFSET($A$1, 45 - 1, 54 - 1) = "1" ), 3, 4 ) ) )</f>
        <v>2</v>
      </c>
      <c r="BE45" s="7">
        <v>0.20866092156497576</v>
      </c>
      <c r="BF45" s="7" t="str">
        <f>"1"</f>
        <v>1</v>
      </c>
      <c r="BG45" t="str">
        <f ca="1">IF((OFFSET($A$1, 45 - 1, 57 - 1)) &gt;= (OFFSET($A$1, 108 - 1, 7 - 1)), "1","0")</f>
        <v>0</v>
      </c>
      <c r="BH45">
        <f ca="1" xml:space="preserve"> IF( AND( OFFSET($A$1, 45 - 1, 58 - 1) = "1", OFFSET($A$1, 45 - 1, 59 - 1) = "1" ), 1, IF( AND( OFFSET($A$1, 45 - 1, 58 - 1) = "1", OFFSET($A$1, 45 - 1, 59 - 1) = "0" ), 2, IF( AND( OFFSET($A$1, 45 - 1, 58 - 1) = "0", OFFSET($A$1, 45 - 1, 59 - 1) = "1" ), 3, 4 ) ) )</f>
        <v>2</v>
      </c>
    </row>
    <row r="46" spans="2:60" x14ac:dyDescent="0.25">
      <c r="AZ46" s="7">
        <v>0.19152089404892439</v>
      </c>
      <c r="BA46" s="7" t="str">
        <f>"0"</f>
        <v>0</v>
      </c>
      <c r="BB46" t="str">
        <f ca="1">IF((OFFSET($A$1, 46 - 1, 52 - 1)) &gt;= (OFFSET($A$1, 84 - 1, 7 - 1)), "1","0")</f>
        <v>0</v>
      </c>
      <c r="BC46">
        <f ca="1" xml:space="preserve"> IF( AND( OFFSET($A$1, 46 - 1, 53 - 1) = "1", OFFSET($A$1, 46 - 1, 54 - 1) = "1" ), 1, IF( AND( OFFSET($A$1, 46 - 1, 53 - 1) = "1", OFFSET($A$1, 46 - 1, 54 - 1) = "0" ), 2, IF( AND( OFFSET($A$1, 46 - 1, 53 - 1) = "0", OFFSET($A$1, 46 - 1, 54 - 1) = "1" ), 3, 4 ) ) )</f>
        <v>4</v>
      </c>
      <c r="BE46" s="7">
        <v>0.19507322448124212</v>
      </c>
      <c r="BF46" s="7" t="str">
        <f>"0"</f>
        <v>0</v>
      </c>
      <c r="BG46" t="str">
        <f ca="1">IF((OFFSET($A$1, 46 - 1, 57 - 1)) &gt;= (OFFSET($A$1, 108 - 1, 7 - 1)), "1","0")</f>
        <v>0</v>
      </c>
      <c r="BH46">
        <f ca="1" xml:space="preserve"> IF( AND( OFFSET($A$1, 46 - 1, 58 - 1) = "1", OFFSET($A$1, 46 - 1, 59 - 1) = "1" ), 1, IF( AND( OFFSET($A$1, 46 - 1, 58 - 1) = "1", OFFSET($A$1, 46 - 1, 59 - 1) = "0" ), 2, IF( AND( OFFSET($A$1, 46 - 1, 58 - 1) = "0", OFFSET($A$1, 46 - 1, 59 - 1) = "1" ), 3, 4 ) ) )</f>
        <v>4</v>
      </c>
    </row>
    <row r="47" spans="2:60" x14ac:dyDescent="0.25">
      <c r="C47" s="10" t="s">
        <v>107</v>
      </c>
      <c r="D47" s="10" t="s">
        <v>108</v>
      </c>
      <c r="AZ47" s="7">
        <v>0.21350402537227284</v>
      </c>
      <c r="BA47" s="7" t="str">
        <f>"0"</f>
        <v>0</v>
      </c>
      <c r="BB47" t="str">
        <f ca="1">IF((OFFSET($A$1, 47 - 1, 52 - 1)) &gt;= (OFFSET($A$1, 84 - 1, 7 - 1)), "1","0")</f>
        <v>0</v>
      </c>
      <c r="BC47">
        <f ca="1" xml:space="preserve"> IF( AND( OFFSET($A$1, 47 - 1, 53 - 1) = "1", OFFSET($A$1, 47 - 1, 54 - 1) = "1" ), 1, IF( AND( OFFSET($A$1, 47 - 1, 53 - 1) = "1", OFFSET($A$1, 47 - 1, 54 - 1) = "0" ), 2, IF( AND( OFFSET($A$1, 47 - 1, 53 - 1) = "0", OFFSET($A$1, 47 - 1, 54 - 1) = "1" ), 3, 4 ) ) )</f>
        <v>4</v>
      </c>
      <c r="BE47" s="7">
        <v>0.21244762582254245</v>
      </c>
      <c r="BF47" s="7" t="str">
        <f>"0"</f>
        <v>0</v>
      </c>
      <c r="BG47" t="str">
        <f ca="1">IF((OFFSET($A$1, 47 - 1, 57 - 1)) &gt;= (OFFSET($A$1, 108 - 1, 7 - 1)), "1","0")</f>
        <v>0</v>
      </c>
      <c r="BH47">
        <f ca="1" xml:space="preserve"> IF( AND( OFFSET($A$1, 47 - 1, 58 - 1) = "1", OFFSET($A$1, 47 - 1, 59 - 1) = "1" ), 1, IF( AND( OFFSET($A$1, 47 - 1, 58 - 1) = "1", OFFSET($A$1, 47 - 1, 59 - 1) = "0" ), 2, IF( AND( OFFSET($A$1, 47 - 1, 58 - 1) = "0", OFFSET($A$1, 47 - 1, 59 - 1) = "1" ), 3, 4 ) ) )</f>
        <v>4</v>
      </c>
    </row>
    <row r="48" spans="2:60" x14ac:dyDescent="0.25">
      <c r="C48" s="9">
        <v>0</v>
      </c>
      <c r="D48" s="7">
        <v>0.80333333333333334</v>
      </c>
      <c r="AZ48" s="7">
        <v>0.17547659525106013</v>
      </c>
      <c r="BA48" s="7" t="str">
        <f>"0"</f>
        <v>0</v>
      </c>
      <c r="BB48" t="str">
        <f ca="1">IF((OFFSET($A$1, 48 - 1, 52 - 1)) &gt;= (OFFSET($A$1, 84 - 1, 7 - 1)), "1","0")</f>
        <v>0</v>
      </c>
      <c r="BC48">
        <f ca="1" xml:space="preserve"> IF( AND( OFFSET($A$1, 48 - 1, 53 - 1) = "1", OFFSET($A$1, 48 - 1, 54 - 1) = "1" ), 1, IF( AND( OFFSET($A$1, 48 - 1, 53 - 1) = "1", OFFSET($A$1, 48 - 1, 54 - 1) = "0" ), 2, IF( AND( OFFSET($A$1, 48 - 1, 53 - 1) = "0", OFFSET($A$1, 48 - 1, 54 - 1) = "1" ), 3, 4 ) ) )</f>
        <v>4</v>
      </c>
      <c r="BE48" s="7">
        <v>0.25572414996450488</v>
      </c>
      <c r="BF48" s="7" t="str">
        <f>"1"</f>
        <v>1</v>
      </c>
      <c r="BG48" t="str">
        <f ca="1">IF((OFFSET($A$1, 48 - 1, 57 - 1)) &gt;= (OFFSET($A$1, 108 - 1, 7 - 1)), "1","0")</f>
        <v>0</v>
      </c>
      <c r="BH48">
        <f ca="1" xml:space="preserve"> IF( AND( OFFSET($A$1, 48 - 1, 58 - 1) = "1", OFFSET($A$1, 48 - 1, 59 - 1) = "1" ), 1, IF( AND( OFFSET($A$1, 48 - 1, 58 - 1) = "1", OFFSET($A$1, 48 - 1, 59 - 1) = "0" ), 2, IF( AND( OFFSET($A$1, 48 - 1, 58 - 1) = "0", OFFSET($A$1, 48 - 1, 59 - 1) = "1" ), 3, 4 ) ) )</f>
        <v>2</v>
      </c>
    </row>
    <row r="49" spans="2:60" x14ac:dyDescent="0.25">
      <c r="C49" s="9">
        <v>1</v>
      </c>
      <c r="D49" s="7">
        <v>0.19666666666666668</v>
      </c>
      <c r="AZ49" s="7">
        <v>0.22580070834568639</v>
      </c>
      <c r="BA49" s="7" t="str">
        <f>"1"</f>
        <v>1</v>
      </c>
      <c r="BB49" t="str">
        <f ca="1">IF((OFFSET($A$1, 49 - 1, 52 - 1)) &gt;= (OFFSET($A$1, 84 - 1, 7 - 1)), "1","0")</f>
        <v>0</v>
      </c>
      <c r="BC49">
        <f ca="1" xml:space="preserve"> IF( AND( OFFSET($A$1, 49 - 1, 53 - 1) = "1", OFFSET($A$1, 49 - 1, 54 - 1) = "1" ), 1, IF( AND( OFFSET($A$1, 49 - 1, 53 - 1) = "1", OFFSET($A$1, 49 - 1, 54 - 1) = "0" ), 2, IF( AND( OFFSET($A$1, 49 - 1, 53 - 1) = "0", OFFSET($A$1, 49 - 1, 54 - 1) = "1" ), 3, 4 ) ) )</f>
        <v>2</v>
      </c>
      <c r="BE49" s="7">
        <v>0.21285418930728234</v>
      </c>
      <c r="BF49" s="7" t="str">
        <f>"0"</f>
        <v>0</v>
      </c>
      <c r="BG49" t="str">
        <f ca="1">IF((OFFSET($A$1, 49 - 1, 57 - 1)) &gt;= (OFFSET($A$1, 108 - 1, 7 - 1)), "1","0")</f>
        <v>0</v>
      </c>
      <c r="BH49">
        <f ca="1" xml:space="preserve"> IF( AND( OFFSET($A$1, 49 - 1, 58 - 1) = "1", OFFSET($A$1, 49 - 1, 59 - 1) = "1" ), 1, IF( AND( OFFSET($A$1, 49 - 1, 58 - 1) = "1", OFFSET($A$1, 49 - 1, 59 - 1) = "0" ), 2, IF( AND( OFFSET($A$1, 49 - 1, 58 - 1) = "0", OFFSET($A$1, 49 - 1, 59 - 1) = "1" ), 3, 4 ) ) )</f>
        <v>4</v>
      </c>
    </row>
    <row r="50" spans="2:60" x14ac:dyDescent="0.25">
      <c r="AZ50" s="7">
        <v>0.2225125611207911</v>
      </c>
      <c r="BA50" s="7" t="str">
        <f>"0"</f>
        <v>0</v>
      </c>
      <c r="BB50" t="str">
        <f ca="1">IF((OFFSET($A$1, 50 - 1, 52 - 1)) &gt;= (OFFSET($A$1, 84 - 1, 7 - 1)), "1","0")</f>
        <v>0</v>
      </c>
      <c r="BC50">
        <f ca="1" xml:space="preserve"> IF( AND( OFFSET($A$1, 50 - 1, 53 - 1) = "1", OFFSET($A$1, 50 - 1, 54 - 1) = "1" ), 1, IF( AND( OFFSET($A$1, 50 - 1, 53 - 1) = "1", OFFSET($A$1, 50 - 1, 54 - 1) = "0" ), 2, IF( AND( OFFSET($A$1, 50 - 1, 53 - 1) = "0", OFFSET($A$1, 50 - 1, 54 - 1) = "1" ), 3, 4 ) ) )</f>
        <v>4</v>
      </c>
      <c r="BE50" s="7">
        <v>0.26666875937531981</v>
      </c>
      <c r="BF50" s="7" t="str">
        <f>"1"</f>
        <v>1</v>
      </c>
      <c r="BG50" t="str">
        <f ca="1">IF((OFFSET($A$1, 50 - 1, 57 - 1)) &gt;= (OFFSET($A$1, 108 - 1, 7 - 1)), "1","0")</f>
        <v>0</v>
      </c>
      <c r="BH50">
        <f ca="1" xml:space="preserve"> IF( AND( OFFSET($A$1, 50 - 1, 58 - 1) = "1", OFFSET($A$1, 50 - 1, 59 - 1) = "1" ), 1, IF( AND( OFFSET($A$1, 50 - 1, 58 - 1) = "1", OFFSET($A$1, 50 - 1, 59 - 1) = "0" ), 2, IF( AND( OFFSET($A$1, 50 - 1, 58 - 1) = "0", OFFSET($A$1, 50 - 1, 59 - 1) = "1" ), 3, 4 ) ) )</f>
        <v>2</v>
      </c>
    </row>
    <row r="51" spans="2:60" x14ac:dyDescent="0.25">
      <c r="AZ51" s="7">
        <v>0.11326664100479339</v>
      </c>
      <c r="BA51" s="7" t="str">
        <f>"0"</f>
        <v>0</v>
      </c>
      <c r="BB51" t="str">
        <f ca="1">IF((OFFSET($A$1, 51 - 1, 52 - 1)) &gt;= (OFFSET($A$1, 84 - 1, 7 - 1)), "1","0")</f>
        <v>0</v>
      </c>
      <c r="BC51">
        <f ca="1" xml:space="preserve"> IF( AND( OFFSET($A$1, 51 - 1, 53 - 1) = "1", OFFSET($A$1, 51 - 1, 54 - 1) = "1" ), 1, IF( AND( OFFSET($A$1, 51 - 1, 53 - 1) = "1", OFFSET($A$1, 51 - 1, 54 - 1) = "0" ), 2, IF( AND( OFFSET($A$1, 51 - 1, 53 - 1) = "0", OFFSET($A$1, 51 - 1, 54 - 1) = "1" ), 3, 4 ) ) )</f>
        <v>4</v>
      </c>
      <c r="BE51" s="7">
        <v>0.16480125917755581</v>
      </c>
      <c r="BF51" s="7" t="str">
        <f>"0"</f>
        <v>0</v>
      </c>
      <c r="BG51" t="str">
        <f ca="1">IF((OFFSET($A$1, 51 - 1, 57 - 1)) &gt;= (OFFSET($A$1, 108 - 1, 7 - 1)), "1","0")</f>
        <v>0</v>
      </c>
      <c r="BH51">
        <f ca="1" xml:space="preserve"> IF( AND( OFFSET($A$1, 51 - 1, 58 - 1) = "1", OFFSET($A$1, 51 - 1, 59 - 1) = "1" ), 1, IF( AND( OFFSET($A$1, 51 - 1, 58 - 1) = "1", OFFSET($A$1, 51 - 1, 59 - 1) = "0" ), 2, IF( AND( OFFSET($A$1, 51 - 1, 58 - 1) = "0", OFFSET($A$1, 51 - 1, 59 - 1) = "1" ), 3, 4 ) ) )</f>
        <v>4</v>
      </c>
    </row>
    <row r="52" spans="2:60" ht="18.75" x14ac:dyDescent="0.3">
      <c r="B52" s="26" t="s">
        <v>109</v>
      </c>
      <c r="AZ52" s="7">
        <v>0.22690437605456062</v>
      </c>
      <c r="BA52" s="7" t="str">
        <f>"0"</f>
        <v>0</v>
      </c>
      <c r="BB52" t="str">
        <f ca="1">IF((OFFSET($A$1, 52 - 1, 52 - 1)) &gt;= (OFFSET($A$1, 84 - 1, 7 - 1)), "1","0")</f>
        <v>0</v>
      </c>
      <c r="BC52">
        <f ca="1" xml:space="preserve"> IF( AND( OFFSET($A$1, 52 - 1, 53 - 1) = "1", OFFSET($A$1, 52 - 1, 54 - 1) = "1" ), 1, IF( AND( OFFSET($A$1, 52 - 1, 53 - 1) = "1", OFFSET($A$1, 52 - 1, 54 - 1) = "0" ), 2, IF( AND( OFFSET($A$1, 52 - 1, 53 - 1) = "0", OFFSET($A$1, 52 - 1, 54 - 1) = "1" ), 3, 4 ) ) )</f>
        <v>4</v>
      </c>
      <c r="BE52" s="7">
        <v>0.12768618941620904</v>
      </c>
      <c r="BF52" s="7" t="str">
        <f>"0"</f>
        <v>0</v>
      </c>
      <c r="BG52" t="str">
        <f ca="1">IF((OFFSET($A$1, 52 - 1, 57 - 1)) &gt;= (OFFSET($A$1, 108 - 1, 7 - 1)), "1","0")</f>
        <v>0</v>
      </c>
      <c r="BH52">
        <f ca="1" xml:space="preserve"> IF( AND( OFFSET($A$1, 52 - 1, 58 - 1) = "1", OFFSET($A$1, 52 - 1, 59 - 1) = "1" ), 1, IF( AND( OFFSET($A$1, 52 - 1, 58 - 1) = "1", OFFSET($A$1, 52 - 1, 59 - 1) = "0" ), 2, IF( AND( OFFSET($A$1, 52 - 1, 58 - 1) = "0", OFFSET($A$1, 52 - 1, 59 - 1) = "1" ), 3, 4 ) ) )</f>
        <v>4</v>
      </c>
    </row>
    <row r="53" spans="2:60" x14ac:dyDescent="0.25">
      <c r="AZ53" s="7">
        <v>0.16018260490986305</v>
      </c>
      <c r="BA53" s="7" t="str">
        <f>"0"</f>
        <v>0</v>
      </c>
      <c r="BB53" t="str">
        <f ca="1">IF((OFFSET($A$1, 53 - 1, 52 - 1)) &gt;= (OFFSET($A$1, 84 - 1, 7 - 1)), "1","0")</f>
        <v>0</v>
      </c>
      <c r="BC53">
        <f ca="1" xml:space="preserve"> IF( AND( OFFSET($A$1, 53 - 1, 53 - 1) = "1", OFFSET($A$1, 53 - 1, 54 - 1) = "1" ), 1, IF( AND( OFFSET($A$1, 53 - 1, 53 - 1) = "1", OFFSET($A$1, 53 - 1, 54 - 1) = "0" ), 2, IF( AND( OFFSET($A$1, 53 - 1, 53 - 1) = "0", OFFSET($A$1, 53 - 1, 54 - 1) = "1" ), 3, 4 ) ) )</f>
        <v>4</v>
      </c>
      <c r="BE53" s="7">
        <v>0.24159733953166854</v>
      </c>
      <c r="BF53" s="7" t="str">
        <f>"0"</f>
        <v>0</v>
      </c>
      <c r="BG53" t="str">
        <f ca="1">IF((OFFSET($A$1, 53 - 1, 57 - 1)) &gt;= (OFFSET($A$1, 108 - 1, 7 - 1)), "1","0")</f>
        <v>0</v>
      </c>
      <c r="BH53">
        <f ca="1" xml:space="preserve"> IF( AND( OFFSET($A$1, 53 - 1, 58 - 1) = "1", OFFSET($A$1, 53 - 1, 59 - 1) = "1" ), 1, IF( AND( OFFSET($A$1, 53 - 1, 58 - 1) = "1", OFFSET($A$1, 53 - 1, 59 - 1) = "0" ), 2, IF( AND( OFFSET($A$1, 53 - 1, 58 - 1) = "0", OFFSET($A$1, 53 - 1, 59 - 1) = "1" ), 3, 4 ) ) )</f>
        <v>4</v>
      </c>
    </row>
    <row r="54" spans="2:60" x14ac:dyDescent="0.25">
      <c r="C54" s="36" t="s">
        <v>110</v>
      </c>
      <c r="D54" s="37"/>
      <c r="E54" s="38"/>
      <c r="F54" s="7">
        <v>3.3256214951262629E-12</v>
      </c>
      <c r="AZ54" s="7">
        <v>0.16830057556214764</v>
      </c>
      <c r="BA54" s="7" t="str">
        <f>"0"</f>
        <v>0</v>
      </c>
      <c r="BB54" t="str">
        <f ca="1">IF((OFFSET($A$1, 54 - 1, 52 - 1)) &gt;= (OFFSET($A$1, 84 - 1, 7 - 1)), "1","0")</f>
        <v>0</v>
      </c>
      <c r="BC54">
        <f ca="1" xml:space="preserve"> IF( AND( OFFSET($A$1, 54 - 1, 53 - 1) = "1", OFFSET($A$1, 54 - 1, 54 - 1) = "1" ), 1, IF( AND( OFFSET($A$1, 54 - 1, 53 - 1) = "1", OFFSET($A$1, 54 - 1, 54 - 1) = "0" ), 2, IF( AND( OFFSET($A$1, 54 - 1, 53 - 1) = "0", OFFSET($A$1, 54 - 1, 54 - 1) = "1" ), 3, 4 ) ) )</f>
        <v>4</v>
      </c>
      <c r="BE54" s="7">
        <v>0.17822901051272877</v>
      </c>
      <c r="BF54" s="7" t="str">
        <f>"0"</f>
        <v>0</v>
      </c>
      <c r="BG54" t="str">
        <f ca="1">IF((OFFSET($A$1, 54 - 1, 57 - 1)) &gt;= (OFFSET($A$1, 108 - 1, 7 - 1)), "1","0")</f>
        <v>0</v>
      </c>
      <c r="BH54">
        <f ca="1" xml:space="preserve"> IF( AND( OFFSET($A$1, 54 - 1, 58 - 1) = "1", OFFSET($A$1, 54 - 1, 59 - 1) = "1" ), 1, IF( AND( OFFSET($A$1, 54 - 1, 58 - 1) = "1", OFFSET($A$1, 54 - 1, 59 - 1) = "0" ), 2, IF( AND( OFFSET($A$1, 54 - 1, 58 - 1) = "0", OFFSET($A$1, 54 - 1, 59 - 1) = "1" ), 3, 4 ) ) )</f>
        <v>4</v>
      </c>
    </row>
    <row r="55" spans="2:60" x14ac:dyDescent="0.25">
      <c r="AZ55" s="7">
        <v>0.18861032295544114</v>
      </c>
      <c r="BA55" s="7" t="str">
        <f>"0"</f>
        <v>0</v>
      </c>
      <c r="BB55" t="str">
        <f ca="1">IF((OFFSET($A$1, 55 - 1, 52 - 1)) &gt;= (OFFSET($A$1, 84 - 1, 7 - 1)), "1","0")</f>
        <v>0</v>
      </c>
      <c r="BC55">
        <f ca="1" xml:space="preserve"> IF( AND( OFFSET($A$1, 55 - 1, 53 - 1) = "1", OFFSET($A$1, 55 - 1, 54 - 1) = "1" ), 1, IF( AND( OFFSET($A$1, 55 - 1, 53 - 1) = "1", OFFSET($A$1, 55 - 1, 54 - 1) = "0" ), 2, IF( AND( OFFSET($A$1, 55 - 1, 53 - 1) = "0", OFFSET($A$1, 55 - 1, 54 - 1) = "1" ), 3, 4 ) ) )</f>
        <v>4</v>
      </c>
      <c r="BE55" s="7">
        <v>0.20146980513632695</v>
      </c>
      <c r="BF55" s="7" t="str">
        <f>"1"</f>
        <v>1</v>
      </c>
      <c r="BG55" t="str">
        <f ca="1">IF((OFFSET($A$1, 55 - 1, 57 - 1)) &gt;= (OFFSET($A$1, 108 - 1, 7 - 1)), "1","0")</f>
        <v>0</v>
      </c>
      <c r="BH55">
        <f ca="1" xml:space="preserve"> IF( AND( OFFSET($A$1, 55 - 1, 58 - 1) = "1", OFFSET($A$1, 55 - 1, 59 - 1) = "1" ), 1, IF( AND( OFFSET($A$1, 55 - 1, 58 - 1) = "1", OFFSET($A$1, 55 - 1, 59 - 1) = "0" ), 2, IF( AND( OFFSET($A$1, 55 - 1, 58 - 1) = "0", OFFSET($A$1, 55 - 1, 59 - 1) = "1" ), 3, 4 ) ) )</f>
        <v>2</v>
      </c>
    </row>
    <row r="56" spans="2:60" x14ac:dyDescent="0.25">
      <c r="C56" s="39" t="s">
        <v>111</v>
      </c>
      <c r="D56" s="40"/>
      <c r="E56" s="39" t="s">
        <v>112</v>
      </c>
      <c r="F56" s="40"/>
      <c r="AZ56" s="7">
        <v>0.15547930812421823</v>
      </c>
      <c r="BA56" s="7" t="str">
        <f>"0"</f>
        <v>0</v>
      </c>
      <c r="BB56" t="str">
        <f ca="1">IF((OFFSET($A$1, 56 - 1, 52 - 1)) &gt;= (OFFSET($A$1, 84 - 1, 7 - 1)), "1","0")</f>
        <v>0</v>
      </c>
      <c r="BC56">
        <f ca="1" xml:space="preserve"> IF( AND( OFFSET($A$1, 56 - 1, 53 - 1) = "1", OFFSET($A$1, 56 - 1, 54 - 1) = "1" ), 1, IF( AND( OFFSET($A$1, 56 - 1, 53 - 1) = "1", OFFSET($A$1, 56 - 1, 54 - 1) = "0" ), 2, IF( AND( OFFSET($A$1, 56 - 1, 53 - 1) = "0", OFFSET($A$1, 56 - 1, 54 - 1) = "1" ), 3, 4 ) ) )</f>
        <v>4</v>
      </c>
      <c r="BE56" s="7">
        <v>0.12628879786244532</v>
      </c>
      <c r="BF56" s="7" t="str">
        <f>"0"</f>
        <v>0</v>
      </c>
      <c r="BG56" t="str">
        <f ca="1">IF((OFFSET($A$1, 56 - 1, 57 - 1)) &gt;= (OFFSET($A$1, 108 - 1, 7 - 1)), "1","0")</f>
        <v>0</v>
      </c>
      <c r="BH56">
        <f ca="1" xml:space="preserve"> IF( AND( OFFSET($A$1, 56 - 1, 58 - 1) = "1", OFFSET($A$1, 56 - 1, 59 - 1) = "1" ), 1, IF( AND( OFFSET($A$1, 56 - 1, 58 - 1) = "1", OFFSET($A$1, 56 - 1, 59 - 1) = "0" ), 2, IF( AND( OFFSET($A$1, 56 - 1, 58 - 1) = "0", OFFSET($A$1, 56 - 1, 59 - 1) = "1" ), 3, 4 ) ) )</f>
        <v>4</v>
      </c>
    </row>
    <row r="57" spans="2:60" x14ac:dyDescent="0.25">
      <c r="C57" s="29" t="s">
        <v>113</v>
      </c>
      <c r="D57" s="29" t="s">
        <v>114</v>
      </c>
      <c r="E57" s="29" t="s">
        <v>113</v>
      </c>
      <c r="F57" s="29" t="s">
        <v>114</v>
      </c>
      <c r="AZ57" s="7">
        <v>0.20555609796884997</v>
      </c>
      <c r="BA57" s="7" t="str">
        <f>"1"</f>
        <v>1</v>
      </c>
      <c r="BB57" t="str">
        <f ca="1">IF((OFFSET($A$1, 57 - 1, 52 - 1)) &gt;= (OFFSET($A$1, 84 - 1, 7 - 1)), "1","0")</f>
        <v>0</v>
      </c>
      <c r="BC57">
        <f ca="1" xml:space="preserve"> IF( AND( OFFSET($A$1, 57 - 1, 53 - 1) = "1", OFFSET($A$1, 57 - 1, 54 - 1) = "1" ), 1, IF( AND( OFFSET($A$1, 57 - 1, 53 - 1) = "1", OFFSET($A$1, 57 - 1, 54 - 1) = "0" ), 2, IF( AND( OFFSET($A$1, 57 - 1, 53 - 1) = "0", OFFSET($A$1, 57 - 1, 54 - 1) = "1" ), 3, 4 ) ) )</f>
        <v>2</v>
      </c>
      <c r="BE57" s="7">
        <v>0.11843025454698952</v>
      </c>
      <c r="BF57" s="7" t="str">
        <f>"0"</f>
        <v>0</v>
      </c>
      <c r="BG57" t="str">
        <f ca="1">IF((OFFSET($A$1, 57 - 1, 57 - 1)) &gt;= (OFFSET($A$1, 108 - 1, 7 - 1)), "1","0")</f>
        <v>0</v>
      </c>
      <c r="BH57">
        <f ca="1" xml:space="preserve"> IF( AND( OFFSET($A$1, 57 - 1, 58 - 1) = "1", OFFSET($A$1, 57 - 1, 59 - 1) = "1" ), 1, IF( AND( OFFSET($A$1, 57 - 1, 58 - 1) = "1", OFFSET($A$1, 57 - 1, 59 - 1) = "0" ), 2, IF( AND( OFFSET($A$1, 57 - 1, 58 - 1) = "0", OFFSET($A$1, 57 - 1, 59 - 1) = "1" ), 3, 4 ) ) )</f>
        <v>4</v>
      </c>
    </row>
    <row r="58" spans="2:60" x14ac:dyDescent="0.25">
      <c r="C58" s="9" t="s">
        <v>115</v>
      </c>
      <c r="D58" s="7">
        <v>2.4831756074894229</v>
      </c>
      <c r="AZ58" s="7">
        <v>0.20866092156497576</v>
      </c>
      <c r="BA58" s="7" t="str">
        <f>"1"</f>
        <v>1</v>
      </c>
      <c r="BB58" t="str">
        <f ca="1">IF((OFFSET($A$1, 58 - 1, 52 - 1)) &gt;= (OFFSET($A$1, 84 - 1, 7 - 1)), "1","0")</f>
        <v>0</v>
      </c>
      <c r="BC58">
        <f ca="1" xml:space="preserve"> IF( AND( OFFSET($A$1, 58 - 1, 53 - 1) = "1", OFFSET($A$1, 58 - 1, 54 - 1) = "1" ), 1, IF( AND( OFFSET($A$1, 58 - 1, 53 - 1) = "1", OFFSET($A$1, 58 - 1, 54 - 1) = "0" ), 2, IF( AND( OFFSET($A$1, 58 - 1, 53 - 1) = "0", OFFSET($A$1, 58 - 1, 54 - 1) = "1" ), 3, 4 ) ) )</f>
        <v>2</v>
      </c>
      <c r="BE58" s="7">
        <v>0.21180013921452562</v>
      </c>
      <c r="BF58" s="7" t="str">
        <f>"0"</f>
        <v>0</v>
      </c>
      <c r="BG58" t="str">
        <f ca="1">IF((OFFSET($A$1, 58 - 1, 57 - 1)) &gt;= (OFFSET($A$1, 108 - 1, 7 - 1)), "1","0")</f>
        <v>0</v>
      </c>
      <c r="BH58">
        <f ca="1" xml:space="preserve"> IF( AND( OFFSET($A$1, 58 - 1, 58 - 1) = "1", OFFSET($A$1, 58 - 1, 59 - 1) = "1" ), 1, IF( AND( OFFSET($A$1, 58 - 1, 58 - 1) = "1", OFFSET($A$1, 58 - 1, 59 - 1) = "0" ), 2, IF( AND( OFFSET($A$1, 58 - 1, 58 - 1) = "0", OFFSET($A$1, 58 - 1, 59 - 1) = "1" ), 3, 4 ) ) )</f>
        <v>4</v>
      </c>
    </row>
    <row r="59" spans="2:60" x14ac:dyDescent="0.25">
      <c r="C59" s="9" t="s">
        <v>0</v>
      </c>
      <c r="D59" s="7">
        <v>49.925261141029587</v>
      </c>
      <c r="AZ59" s="7">
        <v>0.25452645375464944</v>
      </c>
      <c r="BA59" s="7" t="str">
        <f>"0"</f>
        <v>0</v>
      </c>
      <c r="BB59" t="str">
        <f ca="1">IF((OFFSET($A$1, 59 - 1, 52 - 1)) &gt;= (OFFSET($A$1, 84 - 1, 7 - 1)), "1","0")</f>
        <v>0</v>
      </c>
      <c r="BC59">
        <f ca="1" xml:space="preserve"> IF( AND( OFFSET($A$1, 59 - 1, 53 - 1) = "1", OFFSET($A$1, 59 - 1, 54 - 1) = "1" ), 1, IF( AND( OFFSET($A$1, 59 - 1, 53 - 1) = "1", OFFSET($A$1, 59 - 1, 54 - 1) = "0" ), 2, IF( AND( OFFSET($A$1, 59 - 1, 53 - 1) = "0", OFFSET($A$1, 59 - 1, 54 - 1) = "1" ), 3, 4 ) ) )</f>
        <v>4</v>
      </c>
      <c r="BE59" s="7">
        <v>0.24159733953166854</v>
      </c>
      <c r="BF59" s="7" t="str">
        <f>"0"</f>
        <v>0</v>
      </c>
      <c r="BG59" t="str">
        <f ca="1">IF((OFFSET($A$1, 59 - 1, 57 - 1)) &gt;= (OFFSET($A$1, 108 - 1, 7 - 1)), "1","0")</f>
        <v>0</v>
      </c>
      <c r="BH59">
        <f ca="1" xml:space="preserve"> IF( AND( OFFSET($A$1, 59 - 1, 58 - 1) = "1", OFFSET($A$1, 59 - 1, 59 - 1) = "1" ), 1, IF( AND( OFFSET($A$1, 59 - 1, 58 - 1) = "1", OFFSET($A$1, 59 - 1, 59 - 1) = "0" ), 2, IF( AND( OFFSET($A$1, 59 - 1, 58 - 1) = "0", OFFSET($A$1, 59 - 1, 59 - 1) = "1" ), 3, 4 ) ) )</f>
        <v>4</v>
      </c>
    </row>
    <row r="60" spans="2:60" x14ac:dyDescent="0.25">
      <c r="C60" s="9" t="s">
        <v>2</v>
      </c>
      <c r="D60" s="7">
        <v>7.1485973191886023</v>
      </c>
      <c r="AZ60" s="7">
        <v>0.24859360178706014</v>
      </c>
      <c r="BA60" s="7" t="str">
        <f>"0"</f>
        <v>0</v>
      </c>
      <c r="BB60" t="str">
        <f ca="1">IF((OFFSET($A$1, 60 - 1, 52 - 1)) &gt;= (OFFSET($A$1, 84 - 1, 7 - 1)), "1","0")</f>
        <v>0</v>
      </c>
      <c r="BC60">
        <f ca="1" xml:space="preserve"> IF( AND( OFFSET($A$1, 60 - 1, 53 - 1) = "1", OFFSET($A$1, 60 - 1, 54 - 1) = "1" ), 1, IF( AND( OFFSET($A$1, 60 - 1, 53 - 1) = "1", OFFSET($A$1, 60 - 1, 54 - 1) = "0" ), 2, IF( AND( OFFSET($A$1, 60 - 1, 53 - 1) = "0", OFFSET($A$1, 60 - 1, 54 - 1) = "1" ), 3, 4 ) ) )</f>
        <v>4</v>
      </c>
      <c r="BE60" s="7">
        <v>0.14316815580853956</v>
      </c>
      <c r="BF60" s="7" t="str">
        <f>"0"</f>
        <v>0</v>
      </c>
      <c r="BG60" t="str">
        <f ca="1">IF((OFFSET($A$1, 60 - 1, 57 - 1)) &gt;= (OFFSET($A$1, 108 - 1, 7 - 1)), "1","0")</f>
        <v>0</v>
      </c>
      <c r="BH60">
        <f ca="1" xml:space="preserve"> IF( AND( OFFSET($A$1, 60 - 1, 58 - 1) = "1", OFFSET($A$1, 60 - 1, 59 - 1) = "1" ), 1, IF( AND( OFFSET($A$1, 60 - 1, 58 - 1) = "1", OFFSET($A$1, 60 - 1, 59 - 1) = "0" ), 2, IF( AND( OFFSET($A$1, 60 - 1, 58 - 1) = "0", OFFSET($A$1, 60 - 1, 59 - 1) = "1" ), 3, 4 ) ) )</f>
        <v>4</v>
      </c>
    </row>
    <row r="61" spans="2:60" x14ac:dyDescent="0.25">
      <c r="AZ61" s="7">
        <v>0.14502220303419278</v>
      </c>
      <c r="BA61" s="7" t="str">
        <f>"0"</f>
        <v>0</v>
      </c>
      <c r="BB61" t="str">
        <f ca="1">IF((OFFSET($A$1, 61 - 1, 52 - 1)) &gt;= (OFFSET($A$1, 84 - 1, 7 - 1)), "1","0")</f>
        <v>0</v>
      </c>
      <c r="BC61">
        <f ca="1" xml:space="preserve"> IF( AND( OFFSET($A$1, 61 - 1, 53 - 1) = "1", OFFSET($A$1, 61 - 1, 54 - 1) = "1" ), 1, IF( AND( OFFSET($A$1, 61 - 1, 53 - 1) = "1", OFFSET($A$1, 61 - 1, 54 - 1) = "0" ), 2, IF( AND( OFFSET($A$1, 61 - 1, 53 - 1) = "0", OFFSET($A$1, 61 - 1, 54 - 1) = "1" ), 3, 4 ) ) )</f>
        <v>4</v>
      </c>
      <c r="BE61" s="7">
        <v>0.19944955589309404</v>
      </c>
      <c r="BF61" s="7" t="str">
        <f>"0"</f>
        <v>0</v>
      </c>
      <c r="BG61" t="str">
        <f ca="1">IF((OFFSET($A$1, 61 - 1, 57 - 1)) &gt;= (OFFSET($A$1, 108 - 1, 7 - 1)), "1","0")</f>
        <v>0</v>
      </c>
      <c r="BH61">
        <f ca="1" xml:space="preserve"> IF( AND( OFFSET($A$1, 61 - 1, 58 - 1) = "1", OFFSET($A$1, 61 - 1, 59 - 1) = "1" ), 1, IF( AND( OFFSET($A$1, 61 - 1, 58 - 1) = "1", OFFSET($A$1, 61 - 1, 59 - 1) = "0" ), 2, IF( AND( OFFSET($A$1, 61 - 1, 58 - 1) = "0", OFFSET($A$1, 61 - 1, 59 - 1) = "1" ), 3, 4 ) ) )</f>
        <v>4</v>
      </c>
    </row>
    <row r="62" spans="2:60" x14ac:dyDescent="0.25">
      <c r="AZ62" s="7">
        <v>0.21710860581426084</v>
      </c>
      <c r="BA62" s="7" t="str">
        <f>"0"</f>
        <v>0</v>
      </c>
      <c r="BB62" t="str">
        <f ca="1">IF((OFFSET($A$1, 62 - 1, 52 - 1)) &gt;= (OFFSET($A$1, 84 - 1, 7 - 1)), "1","0")</f>
        <v>0</v>
      </c>
      <c r="BC62">
        <f ca="1" xml:space="preserve"> IF( AND( OFFSET($A$1, 62 - 1, 53 - 1) = "1", OFFSET($A$1, 62 - 1, 54 - 1) = "1" ), 1, IF( AND( OFFSET($A$1, 62 - 1, 53 - 1) = "1", OFFSET($A$1, 62 - 1, 54 - 1) = "0" ), 2, IF( AND( OFFSET($A$1, 62 - 1, 53 - 1) = "0", OFFSET($A$1, 62 - 1, 54 - 1) = "1" ), 3, 4 ) ) )</f>
        <v>4</v>
      </c>
      <c r="BE62" s="7">
        <v>0.16136058479674609</v>
      </c>
      <c r="BF62" s="7" t="str">
        <f>"0"</f>
        <v>0</v>
      </c>
      <c r="BG62" t="str">
        <f ca="1">IF((OFFSET($A$1, 62 - 1, 57 - 1)) &gt;= (OFFSET($A$1, 108 - 1, 7 - 1)), "1","0")</f>
        <v>0</v>
      </c>
      <c r="BH62">
        <f ca="1" xml:space="preserve"> IF( AND( OFFSET($A$1, 62 - 1, 58 - 1) = "1", OFFSET($A$1, 62 - 1, 59 - 1) = "1" ), 1, IF( AND( OFFSET($A$1, 62 - 1, 58 - 1) = "1", OFFSET($A$1, 62 - 1, 59 - 1) = "0" ), 2, IF( AND( OFFSET($A$1, 62 - 1, 58 - 1) = "0", OFFSET($A$1, 62 - 1, 59 - 1) = "1" ), 3, 4 ) ) )</f>
        <v>4</v>
      </c>
    </row>
    <row r="63" spans="2:60" ht="18.75" x14ac:dyDescent="0.3">
      <c r="B63" s="26" t="s">
        <v>116</v>
      </c>
      <c r="AZ63" s="7">
        <v>0.2156282895510116</v>
      </c>
      <c r="BA63" s="7" t="str">
        <f>"0"</f>
        <v>0</v>
      </c>
      <c r="BB63" t="str">
        <f ca="1">IF((OFFSET($A$1, 63 - 1, 52 - 1)) &gt;= (OFFSET($A$1, 84 - 1, 7 - 1)), "1","0")</f>
        <v>0</v>
      </c>
      <c r="BC63">
        <f ca="1" xml:space="preserve"> IF( AND( OFFSET($A$1, 63 - 1, 53 - 1) = "1", OFFSET($A$1, 63 - 1, 54 - 1) = "1" ), 1, IF( AND( OFFSET($A$1, 63 - 1, 53 - 1) = "1", OFFSET($A$1, 63 - 1, 54 - 1) = "0" ), 2, IF( AND( OFFSET($A$1, 63 - 1, 53 - 1) = "0", OFFSET($A$1, 63 - 1, 54 - 1) = "1" ), 3, 4 ) ) )</f>
        <v>4</v>
      </c>
      <c r="BE63" s="7">
        <v>0.13413858005385473</v>
      </c>
      <c r="BF63" s="7" t="str">
        <f>"0"</f>
        <v>0</v>
      </c>
      <c r="BG63" t="str">
        <f ca="1">IF((OFFSET($A$1, 63 - 1, 57 - 1)) &gt;= (OFFSET($A$1, 108 - 1, 7 - 1)), "1","0")</f>
        <v>0</v>
      </c>
      <c r="BH63">
        <f ca="1" xml:space="preserve"> IF( AND( OFFSET($A$1, 63 - 1, 58 - 1) = "1", OFFSET($A$1, 63 - 1, 59 - 1) = "1" ), 1, IF( AND( OFFSET($A$1, 63 - 1, 58 - 1) = "1", OFFSET($A$1, 63 - 1, 59 - 1) = "0" ), 2, IF( AND( OFFSET($A$1, 63 - 1, 58 - 1) = "0", OFFSET($A$1, 63 - 1, 59 - 1) = "1" ), 3, 4 ) ) )</f>
        <v>4</v>
      </c>
    </row>
    <row r="64" spans="2:60" x14ac:dyDescent="0.25">
      <c r="AZ64" s="7">
        <v>0.21497375516287537</v>
      </c>
      <c r="BA64" s="7" t="str">
        <f>"0"</f>
        <v>0</v>
      </c>
      <c r="BB64" t="str">
        <f ca="1">IF((OFFSET($A$1, 64 - 1, 52 - 1)) &gt;= (OFFSET($A$1, 84 - 1, 7 - 1)), "1","0")</f>
        <v>0</v>
      </c>
      <c r="BC64">
        <f ca="1" xml:space="preserve"> IF( AND( OFFSET($A$1, 64 - 1, 53 - 1) = "1", OFFSET($A$1, 64 - 1, 54 - 1) = "1" ), 1, IF( AND( OFFSET($A$1, 64 - 1, 53 - 1) = "1", OFFSET($A$1, 64 - 1, 54 - 1) = "0" ), 2, IF( AND( OFFSET($A$1, 64 - 1, 53 - 1) = "0", OFFSET($A$1, 64 - 1, 54 - 1) = "1" ), 3, 4 ) ) )</f>
        <v>4</v>
      </c>
      <c r="BE64" s="7">
        <v>0.21074991125651371</v>
      </c>
      <c r="BF64" s="7" t="str">
        <f>"0"</f>
        <v>0</v>
      </c>
      <c r="BG64" t="str">
        <f ca="1">IF((OFFSET($A$1, 64 - 1, 57 - 1)) &gt;= (OFFSET($A$1, 108 - 1, 7 - 1)), "1","0")</f>
        <v>0</v>
      </c>
      <c r="BH64">
        <f ca="1" xml:space="preserve"> IF( AND( OFFSET($A$1, 64 - 1, 58 - 1) = "1", OFFSET($A$1, 64 - 1, 59 - 1) = "1" ), 1, IF( AND( OFFSET($A$1, 64 - 1, 58 - 1) = "1", OFFSET($A$1, 64 - 1, 59 - 1) = "0" ), 2, IF( AND( OFFSET($A$1, 64 - 1, 58 - 1) = "0", OFFSET($A$1, 64 - 1, 59 - 1) = "1" ), 3, 4 ) ) )</f>
        <v>4</v>
      </c>
    </row>
    <row r="65" spans="2:60" ht="25.5" x14ac:dyDescent="0.25">
      <c r="C65" s="30" t="s">
        <v>117</v>
      </c>
      <c r="D65" s="28" t="s">
        <v>118</v>
      </c>
      <c r="E65" s="28" t="s">
        <v>119</v>
      </c>
      <c r="F65" s="28" t="s">
        <v>120</v>
      </c>
      <c r="G65" s="28" t="s">
        <v>121</v>
      </c>
      <c r="H65" s="28" t="s">
        <v>122</v>
      </c>
      <c r="I65" s="28" t="s">
        <v>123</v>
      </c>
      <c r="J65" s="28" t="s">
        <v>124</v>
      </c>
      <c r="L65" s="9" t="s">
        <v>125</v>
      </c>
      <c r="M65" s="7">
        <v>297</v>
      </c>
      <c r="AZ65" s="7">
        <v>0.27287633116701449</v>
      </c>
      <c r="BA65" s="7" t="str">
        <f>"0"</f>
        <v>0</v>
      </c>
      <c r="BB65" t="str">
        <f ca="1">IF((OFFSET($A$1, 65 - 1, 52 - 1)) &gt;= (OFFSET($A$1, 84 - 1, 7 - 1)), "1","0")</f>
        <v>0</v>
      </c>
      <c r="BC65">
        <f ca="1" xml:space="preserve"> IF( AND( OFFSET($A$1, 65 - 1, 53 - 1) = "1", OFFSET($A$1, 65 - 1, 54 - 1) = "1" ), 1, IF( AND( OFFSET($A$1, 65 - 1, 53 - 1) = "1", OFFSET($A$1, 65 - 1, 54 - 1) = "0" ), 2, IF( AND( OFFSET($A$1, 65 - 1, 53 - 1) = "0", OFFSET($A$1, 65 - 1, 54 - 1) = "1" ), 3, 4 ) ) )</f>
        <v>4</v>
      </c>
      <c r="BE65" s="7">
        <v>0.2225125611207911</v>
      </c>
      <c r="BF65" s="7" t="str">
        <f>"0"</f>
        <v>0</v>
      </c>
      <c r="BG65" t="str">
        <f ca="1">IF((OFFSET($A$1, 65 - 1, 57 - 1)) &gt;= (OFFSET($A$1, 108 - 1, 7 - 1)), "1","0")</f>
        <v>0</v>
      </c>
      <c r="BH65">
        <f ca="1" xml:space="preserve"> IF( AND( OFFSET($A$1, 65 - 1, 58 - 1) = "1", OFFSET($A$1, 65 - 1, 59 - 1) = "1" ), 1, IF( AND( OFFSET($A$1, 65 - 1, 58 - 1) = "1", OFFSET($A$1, 65 - 1, 59 - 1) = "0" ), 2, IF( AND( OFFSET($A$1, 65 - 1, 58 - 1) = "0", OFFSET($A$1, 65 - 1, 59 - 1) = "1" ), 3, 4 ) ) )</f>
        <v>4</v>
      </c>
    </row>
    <row r="66" spans="2:60" x14ac:dyDescent="0.25">
      <c r="C66" s="9" t="s">
        <v>115</v>
      </c>
      <c r="D66" s="7">
        <v>0.36864993181131811</v>
      </c>
      <c r="E66" s="7">
        <v>1.0268711652901104</v>
      </c>
      <c r="F66" s="7">
        <v>0.12888322592956503</v>
      </c>
      <c r="G66" s="7">
        <v>0.7195927700710627</v>
      </c>
      <c r="H66" s="7">
        <v>1.4457813930023045</v>
      </c>
      <c r="I66" s="7">
        <v>0.19320942612635991</v>
      </c>
      <c r="J66" s="7">
        <v>10.818746674319234</v>
      </c>
      <c r="L66" s="9" t="s">
        <v>126</v>
      </c>
      <c r="M66" s="7">
        <v>294.07915259267435</v>
      </c>
      <c r="AZ66" s="7">
        <v>0.17366030983475642</v>
      </c>
      <c r="BA66" s="7" t="str">
        <f>"0"</f>
        <v>0</v>
      </c>
      <c r="BB66" t="str">
        <f ca="1">IF((OFFSET($A$1, 66 - 1, 52 - 1)) &gt;= (OFFSET($A$1, 84 - 1, 7 - 1)), "1","0")</f>
        <v>0</v>
      </c>
      <c r="BC66">
        <f ca="1" xml:space="preserve"> IF( AND( OFFSET($A$1, 66 - 1, 53 - 1) = "1", OFFSET($A$1, 66 - 1, 54 - 1) = "1" ), 1, IF( AND( OFFSET($A$1, 66 - 1, 53 - 1) = "1", OFFSET($A$1, 66 - 1, 54 - 1) = "0" ), 2, IF( AND( OFFSET($A$1, 66 - 1, 53 - 1) = "0", OFFSET($A$1, 66 - 1, 54 - 1) = "1" ), 3, 4 ) ) )</f>
        <v>4</v>
      </c>
      <c r="BE66" s="7">
        <v>0.16393560795311171</v>
      </c>
      <c r="BF66" s="7" t="str">
        <f>"0"</f>
        <v>0</v>
      </c>
      <c r="BG66" t="str">
        <f ca="1">IF((OFFSET($A$1, 66 - 1, 57 - 1)) &gt;= (OFFSET($A$1, 108 - 1, 7 - 1)), "1","0")</f>
        <v>0</v>
      </c>
      <c r="BH66">
        <f ca="1" xml:space="preserve"> IF( AND( OFFSET($A$1, 66 - 1, 58 - 1) = "1", OFFSET($A$1, 66 - 1, 59 - 1) = "1" ), 1, IF( AND( OFFSET($A$1, 66 - 1, 58 - 1) = "1", OFFSET($A$1, 66 - 1, 59 - 1) = "0" ), 2, IF( AND( OFFSET($A$1, 66 - 1, 58 - 1) = "0", OFFSET($A$1, 66 - 1, 59 - 1) = "1" ), 3, 4 ) ) )</f>
        <v>4</v>
      </c>
    </row>
    <row r="67" spans="2:60" x14ac:dyDescent="0.25">
      <c r="C67" s="9" t="s">
        <v>0</v>
      </c>
      <c r="D67" s="7">
        <v>-0.63024664025819721</v>
      </c>
      <c r="E67" s="7">
        <v>0.3746970781596774</v>
      </c>
      <c r="F67" s="7">
        <v>2.8291792575081121</v>
      </c>
      <c r="G67" s="7">
        <v>9.2565654757633606E-2</v>
      </c>
      <c r="H67" s="7">
        <v>0.53246045862540836</v>
      </c>
      <c r="I67" s="7">
        <v>0.25547277812322811</v>
      </c>
      <c r="J67" s="7">
        <v>1.109762621608265</v>
      </c>
      <c r="L67" s="9" t="s">
        <v>127</v>
      </c>
      <c r="M67" s="7">
        <v>2</v>
      </c>
      <c r="AZ67" s="7">
        <v>0.19545479025852741</v>
      </c>
      <c r="BA67" s="7" t="str">
        <f>"1"</f>
        <v>1</v>
      </c>
      <c r="BB67" t="str">
        <f ca="1">IF((OFFSET($A$1, 67 - 1, 52 - 1)) &gt;= (OFFSET($A$1, 84 - 1, 7 - 1)), "1","0")</f>
        <v>0</v>
      </c>
      <c r="BC67">
        <f ca="1" xml:space="preserve"> IF( AND( OFFSET($A$1, 67 - 1, 53 - 1) = "1", OFFSET($A$1, 67 - 1, 54 - 1) = "1" ), 1, IF( AND( OFFSET($A$1, 67 - 1, 53 - 1) = "1", OFFSET($A$1, 67 - 1, 54 - 1) = "0" ), 2, IF( AND( OFFSET($A$1, 67 - 1, 53 - 1) = "0", OFFSET($A$1, 67 - 1, 54 - 1) = "1" ), 3, 4 ) ) )</f>
        <v>2</v>
      </c>
      <c r="BE67" s="7">
        <v>0.19348024263377261</v>
      </c>
      <c r="BF67" s="7" t="str">
        <f>"0"</f>
        <v>0</v>
      </c>
      <c r="BG67" t="str">
        <f ca="1">IF((OFFSET($A$1, 67 - 1, 57 - 1)) &gt;= (OFFSET($A$1, 108 - 1, 7 - 1)), "1","0")</f>
        <v>0</v>
      </c>
      <c r="BH67">
        <f ca="1" xml:space="preserve"> IF( AND( OFFSET($A$1, 67 - 1, 58 - 1) = "1", OFFSET($A$1, 67 - 1, 59 - 1) = "1" ), 1, IF( AND( OFFSET($A$1, 67 - 1, 58 - 1) = "1", OFFSET($A$1, 67 - 1, 59 - 1) = "0" ), 2, IF( AND( OFFSET($A$1, 67 - 1, 58 - 1) = "0", OFFSET($A$1, 67 - 1, 59 - 1) = "1" ), 3, 4 ) ) )</f>
        <v>4</v>
      </c>
    </row>
    <row r="68" spans="2:60" x14ac:dyDescent="0.25">
      <c r="C68" s="9" t="s">
        <v>2</v>
      </c>
      <c r="D68" s="7">
        <v>-8.7307192382969079E-3</v>
      </c>
      <c r="E68" s="7">
        <v>0.38193747686915419</v>
      </c>
      <c r="F68" s="7">
        <v>5.2253513241207509E-4</v>
      </c>
      <c r="G68" s="7">
        <v>0.98176272326805847</v>
      </c>
      <c r="H68" s="7">
        <v>0.99130728281540725</v>
      </c>
      <c r="I68" s="7">
        <v>0.46892407142991027</v>
      </c>
      <c r="J68" s="7">
        <v>2.0956273922264357</v>
      </c>
      <c r="L68" s="9" t="s">
        <v>128</v>
      </c>
      <c r="M68" s="7">
        <v>1.1325651900786382E-2</v>
      </c>
      <c r="AZ68" s="7">
        <v>0.14786981800833485</v>
      </c>
      <c r="BA68" s="7" t="str">
        <f>"0"</f>
        <v>0</v>
      </c>
      <c r="BB68" t="str">
        <f ca="1">IF((OFFSET($A$1, 68 - 1, 52 - 1)) &gt;= (OFFSET($A$1, 84 - 1, 7 - 1)), "1","0")</f>
        <v>0</v>
      </c>
      <c r="BC68">
        <f ca="1" xml:space="preserve"> IF( AND( OFFSET($A$1, 68 - 1, 53 - 1) = "1", OFFSET($A$1, 68 - 1, 54 - 1) = "1" ), 1, IF( AND( OFFSET($A$1, 68 - 1, 53 - 1) = "1", OFFSET($A$1, 68 - 1, 54 - 1) = "0" ), 2, IF( AND( OFFSET($A$1, 68 - 1, 53 - 1) = "0", OFFSET($A$1, 68 - 1, 54 - 1) = "1" ), 3, 4 ) ) )</f>
        <v>4</v>
      </c>
      <c r="BE68" s="7">
        <v>0.12150062143513121</v>
      </c>
      <c r="BF68" s="7" t="str">
        <f>"0"</f>
        <v>0</v>
      </c>
      <c r="BG68" t="str">
        <f ca="1">IF((OFFSET($A$1, 68 - 1, 57 - 1)) &gt;= (OFFSET($A$1, 108 - 1, 7 - 1)), "1","0")</f>
        <v>0</v>
      </c>
      <c r="BH68">
        <f ca="1" xml:space="preserve"> IF( AND( OFFSET($A$1, 68 - 1, 58 - 1) = "1", OFFSET($A$1, 68 - 1, 59 - 1) = "1" ), 1, IF( AND( OFFSET($A$1, 68 - 1, 58 - 1) = "1", OFFSET($A$1, 68 - 1, 59 - 1) = "0" ), 2, IF( AND( OFFSET($A$1, 68 - 1, 58 - 1) = "0", OFFSET($A$1, 68 - 1, 59 - 1) = "1" ), 3, 4 ) ) )</f>
        <v>4</v>
      </c>
    </row>
    <row r="69" spans="2:60" x14ac:dyDescent="0.25">
      <c r="AZ69" s="7">
        <v>0.1505784496574139</v>
      </c>
      <c r="BA69" s="7" t="str">
        <f>"0"</f>
        <v>0</v>
      </c>
      <c r="BB69" t="str">
        <f ca="1">IF((OFFSET($A$1, 69 - 1, 52 - 1)) &gt;= (OFFSET($A$1, 84 - 1, 7 - 1)), "1","0")</f>
        <v>0</v>
      </c>
      <c r="BC69">
        <f ca="1" xml:space="preserve"> IF( AND( OFFSET($A$1, 69 - 1, 53 - 1) = "1", OFFSET($A$1, 69 - 1, 54 - 1) = "1" ), 1, IF( AND( OFFSET($A$1, 69 - 1, 53 - 1) = "1", OFFSET($A$1, 69 - 1, 54 - 1) = "0" ), 2, IF( AND( OFFSET($A$1, 69 - 1, 53 - 1) = "0", OFFSET($A$1, 69 - 1, 54 - 1) = "1" ), 3, 4 ) ) )</f>
        <v>4</v>
      </c>
      <c r="BE69" s="7">
        <v>0.16221527695055615</v>
      </c>
      <c r="BF69" s="7" t="str">
        <f>"0"</f>
        <v>0</v>
      </c>
      <c r="BG69" t="str">
        <f ca="1">IF((OFFSET($A$1, 69 - 1, 57 - 1)) &gt;= (OFFSET($A$1, 108 - 1, 7 - 1)), "1","0")</f>
        <v>0</v>
      </c>
      <c r="BH69">
        <f ca="1" xml:space="preserve"> IF( AND( OFFSET($A$1, 69 - 1, 58 - 1) = "1", OFFSET($A$1, 69 - 1, 59 - 1) = "1" ), 1, IF( AND( OFFSET($A$1, 69 - 1, 58 - 1) = "1", OFFSET($A$1, 69 - 1, 59 - 1) = "0" ), 2, IF( AND( OFFSET($A$1, 69 - 1, 58 - 1) = "0", OFFSET($A$1, 69 - 1, 59 - 1) = "1" ), 3, 4 ) ) )</f>
        <v>4</v>
      </c>
    </row>
    <row r="70" spans="2:60" x14ac:dyDescent="0.25">
      <c r="AZ70" s="7">
        <v>0.27038249801385822</v>
      </c>
      <c r="BA70" s="7" t="str">
        <f>"0"</f>
        <v>0</v>
      </c>
      <c r="BB70" t="str">
        <f ca="1">IF((OFFSET($A$1, 70 - 1, 52 - 1)) &gt;= (OFFSET($A$1, 84 - 1, 7 - 1)), "1","0")</f>
        <v>0</v>
      </c>
      <c r="BC70">
        <f ca="1" xml:space="preserve"> IF( AND( OFFSET($A$1, 70 - 1, 53 - 1) = "1", OFFSET($A$1, 70 - 1, 54 - 1) = "1" ), 1, IF( AND( OFFSET($A$1, 70 - 1, 53 - 1) = "1", OFFSET($A$1, 70 - 1, 54 - 1) = "0" ), 2, IF( AND( OFFSET($A$1, 70 - 1, 53 - 1) = "0", OFFSET($A$1, 70 - 1, 54 - 1) = "1" ), 3, 4 ) ) )</f>
        <v>4</v>
      </c>
      <c r="BE70" s="7">
        <v>0.18478254526686791</v>
      </c>
      <c r="BF70" s="7" t="str">
        <f>"1"</f>
        <v>1</v>
      </c>
      <c r="BG70" t="str">
        <f ca="1">IF((OFFSET($A$1, 70 - 1, 57 - 1)) &gt;= (OFFSET($A$1, 108 - 1, 7 - 1)), "1","0")</f>
        <v>0</v>
      </c>
      <c r="BH70">
        <f ca="1" xml:space="preserve"> IF( AND( OFFSET($A$1, 70 - 1, 58 - 1) = "1", OFFSET($A$1, 70 - 1, 59 - 1) = "1" ), 1, IF( AND( OFFSET($A$1, 70 - 1, 58 - 1) = "1", OFFSET($A$1, 70 - 1, 59 - 1) = "0" ), 2, IF( AND( OFFSET($A$1, 70 - 1, 58 - 1) = "0", OFFSET($A$1, 70 - 1, 59 - 1) = "1" ), 3, 4 ) ) )</f>
        <v>2</v>
      </c>
    </row>
    <row r="71" spans="2:60" ht="18.75" x14ac:dyDescent="0.3">
      <c r="B71" s="26" t="s">
        <v>66</v>
      </c>
      <c r="AZ71" s="7">
        <v>0.24159733953166854</v>
      </c>
      <c r="BA71" s="7" t="str">
        <f>"0"</f>
        <v>0</v>
      </c>
      <c r="BB71" t="str">
        <f ca="1">IF((OFFSET($A$1, 71 - 1, 52 - 1)) &gt;= (OFFSET($A$1, 84 - 1, 7 - 1)), "1","0")</f>
        <v>0</v>
      </c>
      <c r="BC71">
        <f ca="1" xml:space="preserve"> IF( AND( OFFSET($A$1, 71 - 1, 53 - 1) = "1", OFFSET($A$1, 71 - 1, 54 - 1) = "1" ), 1, IF( AND( OFFSET($A$1, 71 - 1, 53 - 1) = "1", OFFSET($A$1, 71 - 1, 54 - 1) = "0" ), 2, IF( AND( OFFSET($A$1, 71 - 1, 53 - 1) = "0", OFFSET($A$1, 71 - 1, 54 - 1) = "1" ), 3, 4 ) ) )</f>
        <v>4</v>
      </c>
      <c r="BE71" s="7">
        <v>0.18764770809113901</v>
      </c>
      <c r="BF71" s="7" t="str">
        <f>"1"</f>
        <v>1</v>
      </c>
      <c r="BG71" t="str">
        <f ca="1">IF((OFFSET($A$1, 71 - 1, 57 - 1)) &gt;= (OFFSET($A$1, 108 - 1, 7 - 1)), "1","0")</f>
        <v>0</v>
      </c>
      <c r="BH71">
        <f ca="1" xml:space="preserve"> IF( AND( OFFSET($A$1, 71 - 1, 58 - 1) = "1", OFFSET($A$1, 71 - 1, 59 - 1) = "1" ), 1, IF( AND( OFFSET($A$1, 71 - 1, 58 - 1) = "1", OFFSET($A$1, 71 - 1, 59 - 1) = "0" ), 2, IF( AND( OFFSET($A$1, 71 - 1, 58 - 1) = "0", OFFSET($A$1, 71 - 1, 59 - 1) = "1" ), 3, 4 ) ) )</f>
        <v>2</v>
      </c>
    </row>
    <row r="72" spans="2:60" x14ac:dyDescent="0.25">
      <c r="AZ72" s="7">
        <v>0.22912312633397788</v>
      </c>
      <c r="BA72" s="7" t="str">
        <f>"0"</f>
        <v>0</v>
      </c>
      <c r="BB72" t="str">
        <f ca="1">IF((OFFSET($A$1, 72 - 1, 52 - 1)) &gt;= (OFFSET($A$1, 84 - 1, 7 - 1)), "1","0")</f>
        <v>0</v>
      </c>
      <c r="BC72">
        <f ca="1" xml:space="preserve"> IF( AND( OFFSET($A$1, 72 - 1, 53 - 1) = "1", OFFSET($A$1, 72 - 1, 54 - 1) = "1" ), 1, IF( AND( OFFSET($A$1, 72 - 1, 53 - 1) = "1", OFFSET($A$1, 72 - 1, 54 - 1) = "0" ), 2, IF( AND( OFFSET($A$1, 72 - 1, 53 - 1) = "0", OFFSET($A$1, 72 - 1, 54 - 1) = "1" ), 3, 4 ) ) )</f>
        <v>4</v>
      </c>
      <c r="BE72" s="7">
        <v>0.19844515054993866</v>
      </c>
      <c r="BF72" s="7" t="str">
        <f>"0"</f>
        <v>0</v>
      </c>
      <c r="BG72" t="str">
        <f ca="1">IF((OFFSET($A$1, 72 - 1, 57 - 1)) &gt;= (OFFSET($A$1, 108 - 1, 7 - 1)), "1","0")</f>
        <v>0</v>
      </c>
      <c r="BH72">
        <f ca="1" xml:space="preserve"> IF( AND( OFFSET($A$1, 72 - 1, 58 - 1) = "1", OFFSET($A$1, 72 - 1, 59 - 1) = "1" ), 1, IF( AND( OFFSET($A$1, 72 - 1, 58 - 1) = "1", OFFSET($A$1, 72 - 1, 59 - 1) = "0" ), 2, IF( AND( OFFSET($A$1, 72 - 1, 58 - 1) = "0", OFFSET($A$1, 72 - 1, 59 - 1) = "1" ), 3, 4 ) ) )</f>
        <v>4</v>
      </c>
    </row>
    <row r="73" spans="2:60" x14ac:dyDescent="0.25">
      <c r="H73" s="11" t="s">
        <v>24</v>
      </c>
      <c r="I73" s="12"/>
      <c r="J73" s="13"/>
      <c r="AZ73" s="7">
        <v>0.19114518343924591</v>
      </c>
      <c r="BA73" s="7" t="str">
        <f>"0"</f>
        <v>0</v>
      </c>
      <c r="BB73" t="str">
        <f ca="1">IF((OFFSET($A$1, 73 - 1, 52 - 1)) &gt;= (OFFSET($A$1, 84 - 1, 7 - 1)), "1","0")</f>
        <v>0</v>
      </c>
      <c r="BC73">
        <f ca="1" xml:space="preserve"> IF( AND( OFFSET($A$1, 73 - 1, 53 - 1) = "1", OFFSET($A$1, 73 - 1, 54 - 1) = "1" ), 1, IF( AND( OFFSET($A$1, 73 - 1, 53 - 1) = "1", OFFSET($A$1, 73 - 1, 54 - 1) = "0" ), 2, IF( AND( OFFSET($A$1, 73 - 1, 53 - 1) = "0", OFFSET($A$1, 73 - 1, 54 - 1) = "1" ), 3, 4 ) ) )</f>
        <v>4</v>
      </c>
      <c r="BE73" s="7">
        <v>0.18823899267304151</v>
      </c>
      <c r="BF73" s="7" t="str">
        <f>"1"</f>
        <v>1</v>
      </c>
      <c r="BG73" t="str">
        <f ca="1">IF((OFFSET($A$1, 73 - 1, 57 - 1)) &gt;= (OFFSET($A$1, 108 - 1, 7 - 1)), "1","0")</f>
        <v>0</v>
      </c>
      <c r="BH73">
        <f ca="1" xml:space="preserve"> IF( AND( OFFSET($A$1, 73 - 1, 58 - 1) = "1", OFFSET($A$1, 73 - 1, 59 - 1) = "1" ), 1, IF( AND( OFFSET($A$1, 73 - 1, 58 - 1) = "1", OFFSET($A$1, 73 - 1, 59 - 1) = "0" ), 2, IF( AND( OFFSET($A$1, 73 - 1, 58 - 1) = "0", OFFSET($A$1, 73 - 1, 59 - 1) = "1" ), 3, 4 ) ) )</f>
        <v>2</v>
      </c>
    </row>
    <row r="74" spans="2:60" x14ac:dyDescent="0.25">
      <c r="C74" t="s">
        <v>129</v>
      </c>
      <c r="D74" t="s">
        <v>130</v>
      </c>
      <c r="E74" t="s">
        <v>131</v>
      </c>
      <c r="F74" t="s">
        <v>132</v>
      </c>
      <c r="G74" t="s">
        <v>133</v>
      </c>
      <c r="H74" t="s">
        <v>157</v>
      </c>
      <c r="I74" t="s">
        <v>158</v>
      </c>
      <c r="J74" t="s">
        <v>159</v>
      </c>
      <c r="AZ74" s="7">
        <v>0.16830057556214764</v>
      </c>
      <c r="BA74" s="7" t="str">
        <f>"0"</f>
        <v>0</v>
      </c>
      <c r="BB74" t="str">
        <f ca="1">IF((OFFSET($A$1, 74 - 1, 52 - 1)) &gt;= (OFFSET($A$1, 84 - 1, 7 - 1)), "1","0")</f>
        <v>0</v>
      </c>
      <c r="BC74">
        <f ca="1" xml:space="preserve"> IF( AND( OFFSET($A$1, 74 - 1, 53 - 1) = "1", OFFSET($A$1, 74 - 1, 54 - 1) = "1" ), 1, IF( AND( OFFSET($A$1, 74 - 1, 53 - 1) = "1", OFFSET($A$1, 74 - 1, 54 - 1) = "0" ), 2, IF( AND( OFFSET($A$1, 74 - 1, 53 - 1) = "0", OFFSET($A$1, 74 - 1, 54 - 1) = "1" ), 3, 4 ) ) )</f>
        <v>4</v>
      </c>
      <c r="BE74" s="7">
        <v>0.25095559175855048</v>
      </c>
      <c r="BF74" s="7" t="str">
        <f>"0"</f>
        <v>0</v>
      </c>
      <c r="BG74" t="str">
        <f ca="1">IF((OFFSET($A$1, 74 - 1, 57 - 1)) &gt;= (OFFSET($A$1, 108 - 1, 7 - 1)), "1","0")</f>
        <v>0</v>
      </c>
      <c r="BH74">
        <f ca="1" xml:space="preserve"> IF( AND( OFFSET($A$1, 74 - 1, 58 - 1) = "1", OFFSET($A$1, 74 - 1, 59 - 1) = "1" ), 1, IF( AND( OFFSET($A$1, 74 - 1, 58 - 1) = "1", OFFSET($A$1, 74 - 1, 59 - 1) = "0" ), 2, IF( AND( OFFSET($A$1, 74 - 1, 58 - 1) = "0", OFFSET($A$1, 74 - 1, 59 - 1) = "1" ), 3, 4 ) ) )</f>
        <v>4</v>
      </c>
    </row>
    <row r="75" spans="2:60" x14ac:dyDescent="0.25">
      <c r="B75" s="32" t="s">
        <v>134</v>
      </c>
      <c r="C75" s="46" t="s">
        <v>156</v>
      </c>
      <c r="D75">
        <v>1</v>
      </c>
      <c r="E75">
        <v>297.18119999999999</v>
      </c>
      <c r="F75">
        <v>2.2869000000000002</v>
      </c>
      <c r="G75">
        <v>0.1951</v>
      </c>
      <c r="H75" t="s">
        <v>115</v>
      </c>
      <c r="AZ75" s="7">
        <v>0.14550323066923684</v>
      </c>
      <c r="BA75" s="7" t="str">
        <f>"0"</f>
        <v>0</v>
      </c>
      <c r="BB75" t="str">
        <f ca="1">IF((OFFSET($A$1, 75 - 1, 52 - 1)) &gt;= (OFFSET($A$1, 84 - 1, 7 - 1)), "1","0")</f>
        <v>0</v>
      </c>
      <c r="BC75">
        <f ca="1" xml:space="preserve"> IF( AND( OFFSET($A$1, 75 - 1, 53 - 1) = "1", OFFSET($A$1, 75 - 1, 54 - 1) = "1" ), 1, IF( AND( OFFSET($A$1, 75 - 1, 53 - 1) = "1", OFFSET($A$1, 75 - 1, 54 - 1) = "0" ), 2, IF( AND( OFFSET($A$1, 75 - 1, 53 - 1) = "0", OFFSET($A$1, 75 - 1, 54 - 1) = "1" ), 3, 4 ) ) )</f>
        <v>4</v>
      </c>
      <c r="BE75" s="7">
        <v>0.20350531581163517</v>
      </c>
      <c r="BF75" s="7" t="str">
        <f>"0"</f>
        <v>0</v>
      </c>
      <c r="BG75" t="str">
        <f ca="1">IF((OFFSET($A$1, 75 - 1, 57 - 1)) &gt;= (OFFSET($A$1, 108 - 1, 7 - 1)), "1","0")</f>
        <v>0</v>
      </c>
      <c r="BH75">
        <f ca="1" xml:space="preserve"> IF( AND( OFFSET($A$1, 75 - 1, 58 - 1) = "1", OFFSET($A$1, 75 - 1, 59 - 1) = "1" ), 1, IF( AND( OFFSET($A$1, 75 - 1, 58 - 1) = "1", OFFSET($A$1, 75 - 1, 59 - 1) = "0" ), 2, IF( AND( OFFSET($A$1, 75 - 1, 58 - 1) = "0", OFFSET($A$1, 75 - 1, 59 - 1) = "1" ), 3, 4 ) ) )</f>
        <v>4</v>
      </c>
    </row>
    <row r="76" spans="2:60" x14ac:dyDescent="0.25">
      <c r="B76" s="32" t="s">
        <v>136</v>
      </c>
      <c r="C76" s="46" t="s">
        <v>156</v>
      </c>
      <c r="D76">
        <v>2</v>
      </c>
      <c r="E76">
        <v>296.76119999999997</v>
      </c>
      <c r="F76">
        <v>3.8624999999999998</v>
      </c>
      <c r="G76">
        <v>9.1700000000000004E-2</v>
      </c>
      <c r="H76" t="s">
        <v>115</v>
      </c>
      <c r="J76" t="s">
        <v>2</v>
      </c>
      <c r="AZ76" s="7">
        <v>0.19507322448124212</v>
      </c>
      <c r="BA76" s="7" t="str">
        <f>"0"</f>
        <v>0</v>
      </c>
      <c r="BB76" t="str">
        <f ca="1">IF((OFFSET($A$1, 76 - 1, 52 - 1)) &gt;= (OFFSET($A$1, 84 - 1, 7 - 1)), "1","0")</f>
        <v>0</v>
      </c>
      <c r="BC76">
        <f ca="1" xml:space="preserve"> IF( AND( OFFSET($A$1, 76 - 1, 53 - 1) = "1", OFFSET($A$1, 76 - 1, 54 - 1) = "1" ), 1, IF( AND( OFFSET($A$1, 76 - 1, 53 - 1) = "1", OFFSET($A$1, 76 - 1, 54 - 1) = "0" ), 2, IF( AND( OFFSET($A$1, 76 - 1, 53 - 1) = "0", OFFSET($A$1, 76 - 1, 54 - 1) = "1" ), 3, 4 ) ) )</f>
        <v>4</v>
      </c>
      <c r="BE76" s="7">
        <v>0.15301280302132639</v>
      </c>
      <c r="BF76" s="7" t="str">
        <f>"0"</f>
        <v>0</v>
      </c>
      <c r="BG76" t="str">
        <f ca="1">IF((OFFSET($A$1, 76 - 1, 57 - 1)) &gt;= (OFFSET($A$1, 108 - 1, 7 - 1)), "1","0")</f>
        <v>0</v>
      </c>
      <c r="BH76">
        <f ca="1" xml:space="preserve"> IF( AND( OFFSET($A$1, 76 - 1, 58 - 1) = "1", OFFSET($A$1, 76 - 1, 59 - 1) = "1" ), 1, IF( AND( OFFSET($A$1, 76 - 1, 58 - 1) = "1", OFFSET($A$1, 76 - 1, 59 - 1) = "0" ), 2, IF( AND( OFFSET($A$1, 76 - 1, 58 - 1) = "0", OFFSET($A$1, 76 - 1, 59 - 1) = "1" ), 3, 4 ) ) )</f>
        <v>4</v>
      </c>
    </row>
    <row r="77" spans="2:60" x14ac:dyDescent="0.25">
      <c r="B77" s="32" t="s">
        <v>135</v>
      </c>
      <c r="C77" s="46" t="s">
        <v>156</v>
      </c>
      <c r="D77">
        <v>2</v>
      </c>
      <c r="E77">
        <v>293.92880000000002</v>
      </c>
      <c r="F77">
        <v>1.0004999999999999</v>
      </c>
      <c r="G77">
        <v>0.98160000000000003</v>
      </c>
      <c r="H77" t="s">
        <v>115</v>
      </c>
      <c r="I77" t="s">
        <v>0</v>
      </c>
      <c r="AZ77" s="7">
        <v>0.17547659525106013</v>
      </c>
      <c r="BA77" s="7" t="str">
        <f>"0"</f>
        <v>0</v>
      </c>
      <c r="BB77" t="str">
        <f ca="1">IF((OFFSET($A$1, 77 - 1, 52 - 1)) &gt;= (OFFSET($A$1, 84 - 1, 7 - 1)), "1","0")</f>
        <v>0</v>
      </c>
      <c r="BC77">
        <f ca="1" xml:space="preserve"> IF( AND( OFFSET($A$1, 77 - 1, 53 - 1) = "1", OFFSET($A$1, 77 - 1, 54 - 1) = "1" ), 1, IF( AND( OFFSET($A$1, 77 - 1, 53 - 1) = "1", OFFSET($A$1, 77 - 1, 54 - 1) = "0" ), 2, IF( AND( OFFSET($A$1, 77 - 1, 53 - 1) = "0", OFFSET($A$1, 77 - 1, 54 - 1) = "1" ), 3, 4 ) ) )</f>
        <v>4</v>
      </c>
      <c r="BE77" s="7">
        <v>0.15966211555772869</v>
      </c>
      <c r="BF77" s="7" t="str">
        <f>"1"</f>
        <v>1</v>
      </c>
      <c r="BG77" t="str">
        <f ca="1">IF((OFFSET($A$1, 77 - 1, 57 - 1)) &gt;= (OFFSET($A$1, 108 - 1, 7 - 1)), "1","0")</f>
        <v>0</v>
      </c>
      <c r="BH77">
        <f ca="1" xml:space="preserve"> IF( AND( OFFSET($A$1, 77 - 1, 58 - 1) = "1", OFFSET($A$1, 77 - 1, 59 - 1) = "1" ), 1, IF( AND( OFFSET($A$1, 77 - 1, 58 - 1) = "1", OFFSET($A$1, 77 - 1, 59 - 1) = "0" ), 2, IF( AND( OFFSET($A$1, 77 - 1, 58 - 1) = "0", OFFSET($A$1, 77 - 1, 59 - 1) = "1" ), 3, 4 ) ) )</f>
        <v>2</v>
      </c>
    </row>
    <row r="78" spans="2:60" x14ac:dyDescent="0.25">
      <c r="B78" s="32" t="s">
        <v>137</v>
      </c>
      <c r="C78" s="46" t="s">
        <v>156</v>
      </c>
      <c r="D78">
        <v>3</v>
      </c>
      <c r="E78">
        <v>293.92829999999998</v>
      </c>
      <c r="F78">
        <v>3</v>
      </c>
      <c r="G78">
        <v>1</v>
      </c>
      <c r="H78" t="s">
        <v>115</v>
      </c>
      <c r="I78" t="s">
        <v>0</v>
      </c>
      <c r="J78" t="s">
        <v>2</v>
      </c>
      <c r="AZ78" s="7">
        <v>0.20045777355238872</v>
      </c>
      <c r="BA78" s="7" t="str">
        <f>"0"</f>
        <v>0</v>
      </c>
      <c r="BB78" t="str">
        <f ca="1">IF((OFFSET($A$1, 78 - 1, 52 - 1)) &gt;= (OFFSET($A$1, 84 - 1, 7 - 1)), "1","0")</f>
        <v>0</v>
      </c>
      <c r="BC78">
        <f ca="1" xml:space="preserve"> IF( AND( OFFSET($A$1, 78 - 1, 53 - 1) = "1", OFFSET($A$1, 78 - 1, 54 - 1) = "1" ), 1, IF( AND( OFFSET($A$1, 78 - 1, 53 - 1) = "1", OFFSET($A$1, 78 - 1, 54 - 1) = "0" ), 2, IF( AND( OFFSET($A$1, 78 - 1, 53 - 1) = "0", OFFSET($A$1, 78 - 1, 54 - 1) = "1" ), 3, 4 ) ) )</f>
        <v>4</v>
      </c>
      <c r="BE78" s="7">
        <v>0.28044343773102215</v>
      </c>
      <c r="BF78" s="7" t="str">
        <f>"0"</f>
        <v>0</v>
      </c>
      <c r="BG78" t="str">
        <f ca="1">IF((OFFSET($A$1, 78 - 1, 57 - 1)) &gt;= (OFFSET($A$1, 108 - 1, 7 - 1)), "1","0")</f>
        <v>0</v>
      </c>
      <c r="BH78">
        <f ca="1" xml:space="preserve"> IF( AND( OFFSET($A$1, 78 - 1, 58 - 1) = "1", OFFSET($A$1, 78 - 1, 59 - 1) = "1" ), 1, IF( AND( OFFSET($A$1, 78 - 1, 58 - 1) = "1", OFFSET($A$1, 78 - 1, 59 - 1) = "0" ), 2, IF( AND( OFFSET($A$1, 78 - 1, 58 - 1) = "0", OFFSET($A$1, 78 - 1, 59 - 1) = "1" ), 3, 4 ) ) )</f>
        <v>4</v>
      </c>
    </row>
    <row r="79" spans="2:60" x14ac:dyDescent="0.25">
      <c r="AZ79" s="7">
        <v>0.20452879741603713</v>
      </c>
      <c r="BA79" s="7" t="str">
        <f>"0"</f>
        <v>0</v>
      </c>
      <c r="BB79" t="str">
        <f ca="1">IF((OFFSET($A$1, 79 - 1, 52 - 1)) &gt;= (OFFSET($A$1, 84 - 1, 7 - 1)), "1","0")</f>
        <v>0</v>
      </c>
      <c r="BC79">
        <f ca="1" xml:space="preserve"> IF( AND( OFFSET($A$1, 79 - 1, 53 - 1) = "1", OFFSET($A$1, 79 - 1, 54 - 1) = "1" ), 1, IF( AND( OFFSET($A$1, 79 - 1, 53 - 1) = "1", OFFSET($A$1, 79 - 1, 54 - 1) = "0" ), 2, IF( AND( OFFSET($A$1, 79 - 1, 53 - 1) = "0", OFFSET($A$1, 79 - 1, 54 - 1) = "1" ), 3, 4 ) ) )</f>
        <v>4</v>
      </c>
      <c r="BE79" s="7">
        <v>0.11114136226475514</v>
      </c>
      <c r="BF79" s="7" t="str">
        <f>"0"</f>
        <v>0</v>
      </c>
      <c r="BG79" t="str">
        <f ca="1">IF((OFFSET($A$1, 79 - 1, 57 - 1)) &gt;= (OFFSET($A$1, 108 - 1, 7 - 1)), "1","0")</f>
        <v>0</v>
      </c>
      <c r="BH79">
        <f ca="1" xml:space="preserve"> IF( AND( OFFSET($A$1, 79 - 1, 58 - 1) = "1", OFFSET($A$1, 79 - 1, 59 - 1) = "1" ), 1, IF( AND( OFFSET($A$1, 79 - 1, 58 - 1) = "1", OFFSET($A$1, 79 - 1, 59 - 1) = "0" ), 2, IF( AND( OFFSET($A$1, 79 - 1, 58 - 1) = "0", OFFSET($A$1, 79 - 1, 59 - 1) = "1" ), 3, 4 ) ) )</f>
        <v>4</v>
      </c>
    </row>
    <row r="80" spans="2:60" x14ac:dyDescent="0.25">
      <c r="AZ80" s="7">
        <v>0.28813723263704072</v>
      </c>
      <c r="BA80" s="7" t="str">
        <f>"0"</f>
        <v>0</v>
      </c>
      <c r="BB80" t="str">
        <f ca="1">IF((OFFSET($A$1, 80 - 1, 52 - 1)) &gt;= (OFFSET($A$1, 84 - 1, 7 - 1)), "1","0")</f>
        <v>0</v>
      </c>
      <c r="BC80">
        <f ca="1" xml:space="preserve"> IF( AND( OFFSET($A$1, 80 - 1, 53 - 1) = "1", OFFSET($A$1, 80 - 1, 54 - 1) = "1" ), 1, IF( AND( OFFSET($A$1, 80 - 1, 53 - 1) = "1", OFFSET($A$1, 80 - 1, 54 - 1) = "0" ), 2, IF( AND( OFFSET($A$1, 80 - 1, 53 - 1) = "0", OFFSET($A$1, 80 - 1, 54 - 1) = "1" ), 3, 4 ) ) )</f>
        <v>4</v>
      </c>
      <c r="BE80" s="7">
        <v>0.27038249801385822</v>
      </c>
      <c r="BF80" s="7" t="str">
        <f>"0"</f>
        <v>0</v>
      </c>
      <c r="BG80" t="str">
        <f ca="1">IF((OFFSET($A$1, 80 - 1, 57 - 1)) &gt;= (OFFSET($A$1, 108 - 1, 7 - 1)), "1","0")</f>
        <v>0</v>
      </c>
      <c r="BH80">
        <f ca="1" xml:space="preserve"> IF( AND( OFFSET($A$1, 80 - 1, 58 - 1) = "1", OFFSET($A$1, 80 - 1, 59 - 1) = "1" ), 1, IF( AND( OFFSET($A$1, 80 - 1, 58 - 1) = "1", OFFSET($A$1, 80 - 1, 59 - 1) = "0" ), 2, IF( AND( OFFSET($A$1, 80 - 1, 58 - 1) = "0", OFFSET($A$1, 80 - 1, 59 - 1) = "1" ), 3, 4 ) ) )</f>
        <v>4</v>
      </c>
    </row>
    <row r="81" spans="2:60" x14ac:dyDescent="0.25">
      <c r="AZ81" s="7">
        <v>0.22360479890457233</v>
      </c>
      <c r="BA81" s="7" t="str">
        <f>"0"</f>
        <v>0</v>
      </c>
      <c r="BB81" t="str">
        <f ca="1">IF((OFFSET($A$1, 81 - 1, 52 - 1)) &gt;= (OFFSET($A$1, 84 - 1, 7 - 1)), "1","0")</f>
        <v>0</v>
      </c>
      <c r="BC81">
        <f ca="1" xml:space="preserve"> IF( AND( OFFSET($A$1, 81 - 1, 53 - 1) = "1", OFFSET($A$1, 81 - 1, 54 - 1) = "1" ), 1, IF( AND( OFFSET($A$1, 81 - 1, 53 - 1) = "1", OFFSET($A$1, 81 - 1, 54 - 1) = "0" ), 2, IF( AND( OFFSET($A$1, 81 - 1, 53 - 1) = "0", OFFSET($A$1, 81 - 1, 54 - 1) = "1" ), 3, 4 ) ) )</f>
        <v>4</v>
      </c>
      <c r="BE81" s="7">
        <v>0.1838350401037761</v>
      </c>
      <c r="BF81" s="7" t="str">
        <f>"0"</f>
        <v>0</v>
      </c>
      <c r="BG81" t="str">
        <f ca="1">IF((OFFSET($A$1, 81 - 1, 57 - 1)) &gt;= (OFFSET($A$1, 108 - 1, 7 - 1)), "1","0")</f>
        <v>0</v>
      </c>
      <c r="BH81">
        <f ca="1" xml:space="preserve"> IF( AND( OFFSET($A$1, 81 - 1, 58 - 1) = "1", OFFSET($A$1, 81 - 1, 59 - 1) = "1" ), 1, IF( AND( OFFSET($A$1, 81 - 1, 58 - 1) = "1", OFFSET($A$1, 81 - 1, 59 - 1) = "0" ), 2, IF( AND( OFFSET($A$1, 81 - 1, 58 - 1) = "0", OFFSET($A$1, 81 - 1, 59 - 1) = "1" ), 3, 4 ) ) )</f>
        <v>4</v>
      </c>
    </row>
    <row r="82" spans="2:60" ht="18.75" x14ac:dyDescent="0.3">
      <c r="B82" s="26" t="s">
        <v>138</v>
      </c>
      <c r="AZ82" s="7">
        <v>0.13888182263795479</v>
      </c>
      <c r="BA82" s="7" t="str">
        <f>"0"</f>
        <v>0</v>
      </c>
      <c r="BB82" t="str">
        <f ca="1">IF((OFFSET($A$1, 82 - 1, 52 - 1)) &gt;= (OFFSET($A$1, 84 - 1, 7 - 1)), "1","0")</f>
        <v>0</v>
      </c>
      <c r="BC82">
        <f ca="1" xml:space="preserve"> IF( AND( OFFSET($A$1, 82 - 1, 53 - 1) = "1", OFFSET($A$1, 82 - 1, 54 - 1) = "1" ), 1, IF( AND( OFFSET($A$1, 82 - 1, 53 - 1) = "1", OFFSET($A$1, 82 - 1, 54 - 1) = "0" ), 2, IF( AND( OFFSET($A$1, 82 - 1, 53 - 1) = "0", OFFSET($A$1, 82 - 1, 54 - 1) = "1" ), 3, 4 ) ) )</f>
        <v>4</v>
      </c>
      <c r="BE82" s="7">
        <v>0.24275400814759643</v>
      </c>
      <c r="BF82" s="7" t="str">
        <f>"0"</f>
        <v>0</v>
      </c>
      <c r="BG82" t="str">
        <f ca="1">IF((OFFSET($A$1, 82 - 1, 57 - 1)) &gt;= (OFFSET($A$1, 108 - 1, 7 - 1)), "1","0")</f>
        <v>0</v>
      </c>
      <c r="BH82">
        <f ca="1" xml:space="preserve"> IF( AND( OFFSET($A$1, 82 - 1, 58 - 1) = "1", OFFSET($A$1, 82 - 1, 59 - 1) = "1" ), 1, IF( AND( OFFSET($A$1, 82 - 1, 58 - 1) = "1", OFFSET($A$1, 82 - 1, 59 - 1) = "0" ), 2, IF( AND( OFFSET($A$1, 82 - 1, 58 - 1) = "0", OFFSET($A$1, 82 - 1, 59 - 1) = "1" ), 3, 4 ) ) )</f>
        <v>4</v>
      </c>
    </row>
    <row r="83" spans="2:60" x14ac:dyDescent="0.25">
      <c r="AZ83" s="7">
        <v>0.21497375516287545</v>
      </c>
      <c r="BA83" s="7" t="str">
        <f>"1"</f>
        <v>1</v>
      </c>
      <c r="BB83" t="str">
        <f ca="1">IF((OFFSET($A$1, 83 - 1, 52 - 1)) &gt;= (OFFSET($A$1, 84 - 1, 7 - 1)), "1","0")</f>
        <v>0</v>
      </c>
      <c r="BC83">
        <f ca="1" xml:space="preserve"> IF( AND( OFFSET($A$1, 83 - 1, 53 - 1) = "1", OFFSET($A$1, 83 - 1, 54 - 1) = "1" ), 1, IF( AND( OFFSET($A$1, 83 - 1, 53 - 1) = "1", OFFSET($A$1, 83 - 1, 54 - 1) = "0" ), 2, IF( AND( OFFSET($A$1, 83 - 1, 53 - 1) = "0", OFFSET($A$1, 83 - 1, 54 - 1) = "1" ), 3, 4 ) ) )</f>
        <v>2</v>
      </c>
      <c r="BE83" s="7">
        <v>0.20350531581163517</v>
      </c>
      <c r="BF83" s="7" t="str">
        <f>"0"</f>
        <v>0</v>
      </c>
      <c r="BG83" t="str">
        <f ca="1">IF((OFFSET($A$1, 83 - 1, 57 - 1)) &gt;= (OFFSET($A$1, 108 - 1, 7 - 1)), "1","0")</f>
        <v>0</v>
      </c>
      <c r="BH83">
        <f ca="1" xml:space="preserve"> IF( AND( OFFSET($A$1, 83 - 1, 58 - 1) = "1", OFFSET($A$1, 83 - 1, 59 - 1) = "1" ), 1, IF( AND( OFFSET($A$1, 83 - 1, 58 - 1) = "1", OFFSET($A$1, 83 - 1, 59 - 1) = "0" ), 2, IF( AND( OFFSET($A$1, 83 - 1, 58 - 1) = "0", OFFSET($A$1, 83 - 1, 59 - 1) = "1" ), 3, 4 ) ) )</f>
        <v>4</v>
      </c>
    </row>
    <row r="84" spans="2:60" x14ac:dyDescent="0.25">
      <c r="C84" s="41" t="s">
        <v>139</v>
      </c>
      <c r="D84" s="42"/>
      <c r="E84" s="42"/>
      <c r="F84" s="43"/>
      <c r="G84" s="31">
        <v>0.5</v>
      </c>
      <c r="H84" s="41" t="s">
        <v>140</v>
      </c>
      <c r="I84" s="42"/>
      <c r="J84" s="42"/>
      <c r="K84" s="42"/>
      <c r="L84" s="42"/>
      <c r="M84" s="43"/>
      <c r="AZ84" s="7">
        <v>0.21603927017399838</v>
      </c>
      <c r="BA84" s="7" t="str">
        <f>"0"</f>
        <v>0</v>
      </c>
      <c r="BB84" t="str">
        <f ca="1">IF((OFFSET($A$1, 84 - 1, 52 - 1)) &gt;= (OFFSET($A$1, 84 - 1, 7 - 1)), "1","0")</f>
        <v>0</v>
      </c>
      <c r="BC84">
        <f ca="1" xml:space="preserve"> IF( AND( OFFSET($A$1, 84 - 1, 53 - 1) = "1", OFFSET($A$1, 84 - 1, 54 - 1) = "1" ), 1, IF( AND( OFFSET($A$1, 84 - 1, 53 - 1) = "1", OFFSET($A$1, 84 - 1, 54 - 1) = "0" ), 2, IF( AND( OFFSET($A$1, 84 - 1, 53 - 1) = "0", OFFSET($A$1, 84 - 1, 54 - 1) = "1" ), 3, 4 ) ) )</f>
        <v>4</v>
      </c>
      <c r="BE84" s="7">
        <v>0.26914097468300807</v>
      </c>
      <c r="BF84" s="7" t="str">
        <f>"0"</f>
        <v>0</v>
      </c>
      <c r="BG84" t="str">
        <f ca="1">IF((OFFSET($A$1, 84 - 1, 57 - 1)) &gt;= (OFFSET($A$1, 108 - 1, 7 - 1)), "1","0")</f>
        <v>0</v>
      </c>
      <c r="BH84">
        <f ca="1" xml:space="preserve"> IF( AND( OFFSET($A$1, 84 - 1, 58 - 1) = "1", OFFSET($A$1, 84 - 1, 59 - 1) = "1" ), 1, IF( AND( OFFSET($A$1, 84 - 1, 58 - 1) = "1", OFFSET($A$1, 84 - 1, 59 - 1) = "0" ), 2, IF( AND( OFFSET($A$1, 84 - 1, 58 - 1) = "0", OFFSET($A$1, 84 - 1, 59 - 1) = "1" ), 3, 4 ) ) )</f>
        <v>4</v>
      </c>
    </row>
    <row r="85" spans="2:60" x14ac:dyDescent="0.25">
      <c r="AZ85" s="7">
        <v>0.2766439066661347</v>
      </c>
      <c r="BA85" s="7" t="str">
        <f>"0"</f>
        <v>0</v>
      </c>
      <c r="BB85" t="str">
        <f ca="1">IF((OFFSET($A$1, 85 - 1, 52 - 1)) &gt;= (OFFSET($A$1, 84 - 1, 7 - 1)), "1","0")</f>
        <v>0</v>
      </c>
      <c r="BC85">
        <f ca="1" xml:space="preserve"> IF( AND( OFFSET($A$1, 85 - 1, 53 - 1) = "1", OFFSET($A$1, 85 - 1, 54 - 1) = "1" ), 1, IF( AND( OFFSET($A$1, 85 - 1, 53 - 1) = "1", OFFSET($A$1, 85 - 1, 54 - 1) = "0" ), 2, IF( AND( OFFSET($A$1, 85 - 1, 53 - 1) = "0", OFFSET($A$1, 85 - 1, 54 - 1) = "1" ), 3, 4 ) ) )</f>
        <v>4</v>
      </c>
      <c r="BE85" s="7">
        <v>0.16742022802981288</v>
      </c>
      <c r="BF85" s="7" t="str">
        <f>"0"</f>
        <v>0</v>
      </c>
      <c r="BG85" t="str">
        <f ca="1">IF((OFFSET($A$1, 85 - 1, 57 - 1)) &gt;= (OFFSET($A$1, 108 - 1, 7 - 1)), "1","0")</f>
        <v>0</v>
      </c>
      <c r="BH85">
        <f ca="1" xml:space="preserve"> IF( AND( OFFSET($A$1, 85 - 1, 58 - 1) = "1", OFFSET($A$1, 85 - 1, 59 - 1) = "1" ), 1, IF( AND( OFFSET($A$1, 85 - 1, 58 - 1) = "1", OFFSET($A$1, 85 - 1, 59 - 1) = "0" ), 2, IF( AND( OFFSET($A$1, 85 - 1, 58 - 1) = "0", OFFSET($A$1, 85 - 1, 59 - 1) = "1" ), 3, 4 ) ) )</f>
        <v>4</v>
      </c>
    </row>
    <row r="86" spans="2:60" x14ac:dyDescent="0.25">
      <c r="C86" s="11" t="s">
        <v>141</v>
      </c>
      <c r="D86" s="12"/>
      <c r="E86" s="13"/>
      <c r="AZ86" s="7">
        <v>0.17639033066452067</v>
      </c>
      <c r="BA86" s="7" t="str">
        <f>"0"</f>
        <v>0</v>
      </c>
      <c r="BB86" t="str">
        <f ca="1">IF((OFFSET($A$1, 86 - 1, 52 - 1)) &gt;= (OFFSET($A$1, 84 - 1, 7 - 1)), "1","0")</f>
        <v>0</v>
      </c>
      <c r="BC86">
        <f ca="1" xml:space="preserve"> IF( AND( OFFSET($A$1, 86 - 1, 53 - 1) = "1", OFFSET($A$1, 86 - 1, 54 - 1) = "1" ), 1, IF( AND( OFFSET($A$1, 86 - 1, 53 - 1) = "1", OFFSET($A$1, 86 - 1, 54 - 1) = "0" ), 2, IF( AND( OFFSET($A$1, 86 - 1, 53 - 1) = "0", OFFSET($A$1, 86 - 1, 54 - 1) = "1" ), 3, 4 ) ) )</f>
        <v>4</v>
      </c>
      <c r="BE86" s="7">
        <v>0.19644776968561936</v>
      </c>
      <c r="BF86" s="7" t="str">
        <f>"1"</f>
        <v>1</v>
      </c>
      <c r="BG86" t="str">
        <f ca="1">IF((OFFSET($A$1, 86 - 1, 57 - 1)) &gt;= (OFFSET($A$1, 108 - 1, 7 - 1)), "1","0")</f>
        <v>0</v>
      </c>
      <c r="BH86">
        <f ca="1" xml:space="preserve"> IF( AND( OFFSET($A$1, 86 - 1, 58 - 1) = "1", OFFSET($A$1, 86 - 1, 59 - 1) = "1" ), 1, IF( AND( OFFSET($A$1, 86 - 1, 58 - 1) = "1", OFFSET($A$1, 86 - 1, 59 - 1) = "0" ), 2, IF( AND( OFFSET($A$1, 86 - 1, 58 - 1) = "0", OFFSET($A$1, 86 - 1, 59 - 1) = "1" ), 3, 4 ) ) )</f>
        <v>2</v>
      </c>
    </row>
    <row r="87" spans="2:60" x14ac:dyDescent="0.25">
      <c r="C87" s="10"/>
      <c r="D87" s="44" t="s">
        <v>142</v>
      </c>
      <c r="E87" s="45"/>
      <c r="AZ87" s="7">
        <v>0.2497727342920856</v>
      </c>
      <c r="BA87" s="7" t="str">
        <f>"0"</f>
        <v>0</v>
      </c>
      <c r="BB87" t="str">
        <f ca="1">IF((OFFSET($A$1, 87 - 1, 52 - 1)) &gt;= (OFFSET($A$1, 84 - 1, 7 - 1)), "1","0")</f>
        <v>0</v>
      </c>
      <c r="BC87">
        <f ca="1" xml:space="preserve"> IF( AND( OFFSET($A$1, 87 - 1, 53 - 1) = "1", OFFSET($A$1, 87 - 1, 54 - 1) = "1" ), 1, IF( AND( OFFSET($A$1, 87 - 1, 53 - 1) = "1", OFFSET($A$1, 87 - 1, 54 - 1) = "0" ), 2, IF( AND( OFFSET($A$1, 87 - 1, 53 - 1) = "0", OFFSET($A$1, 87 - 1, 54 - 1) = "1" ), 3, 4 ) ) )</f>
        <v>4</v>
      </c>
      <c r="BE87" s="7">
        <v>0.20930135974856356</v>
      </c>
      <c r="BF87" s="7" t="str">
        <f>"0"</f>
        <v>0</v>
      </c>
      <c r="BG87" t="str">
        <f ca="1">IF((OFFSET($A$1, 87 - 1, 57 - 1)) &gt;= (OFFSET($A$1, 108 - 1, 7 - 1)), "1","0")</f>
        <v>0</v>
      </c>
      <c r="BH87">
        <f ca="1" xml:space="preserve"> IF( AND( OFFSET($A$1, 87 - 1, 58 - 1) = "1", OFFSET($A$1, 87 - 1, 59 - 1) = "1" ), 1, IF( AND( OFFSET($A$1, 87 - 1, 58 - 1) = "1", OFFSET($A$1, 87 - 1, 59 - 1) = "0" ), 2, IF( AND( OFFSET($A$1, 87 - 1, 58 - 1) = "0", OFFSET($A$1, 87 - 1, 59 - 1) = "1" ), 3, 4 ) ) )</f>
        <v>4</v>
      </c>
    </row>
    <row r="88" spans="2:60" x14ac:dyDescent="0.25">
      <c r="C88" s="9" t="s">
        <v>143</v>
      </c>
      <c r="D88" s="10">
        <v>1</v>
      </c>
      <c r="E88" s="10">
        <v>0</v>
      </c>
      <c r="AZ88" s="7">
        <v>0.28943168192732205</v>
      </c>
      <c r="BA88" s="7" t="str">
        <f>"0"</f>
        <v>0</v>
      </c>
      <c r="BB88" t="str">
        <f ca="1">IF((OFFSET($A$1, 88 - 1, 52 - 1)) &gt;= (OFFSET($A$1, 84 - 1, 7 - 1)), "1","0")</f>
        <v>0</v>
      </c>
      <c r="BC88">
        <f ca="1" xml:space="preserve"> IF( AND( OFFSET($A$1, 88 - 1, 53 - 1) = "1", OFFSET($A$1, 88 - 1, 54 - 1) = "1" ), 1, IF( AND( OFFSET($A$1, 88 - 1, 53 - 1) = "1", OFFSET($A$1, 88 - 1, 54 - 1) = "0" ), 2, IF( AND( OFFSET($A$1, 88 - 1, 53 - 1) = "0", OFFSET($A$1, 88 - 1, 54 - 1) = "1" ), 3, 4 ) ) )</f>
        <v>4</v>
      </c>
      <c r="BE88" s="7">
        <v>0.19545479025852741</v>
      </c>
      <c r="BF88" s="7" t="str">
        <f>"0"</f>
        <v>0</v>
      </c>
      <c r="BG88" t="str">
        <f ca="1">IF((OFFSET($A$1, 88 - 1, 57 - 1)) &gt;= (OFFSET($A$1, 108 - 1, 7 - 1)), "1","0")</f>
        <v>0</v>
      </c>
      <c r="BH88">
        <f ca="1" xml:space="preserve"> IF( AND( OFFSET($A$1, 88 - 1, 58 - 1) = "1", OFFSET($A$1, 88 - 1, 59 - 1) = "1" ), 1, IF( AND( OFFSET($A$1, 88 - 1, 58 - 1) = "1", OFFSET($A$1, 88 - 1, 59 - 1) = "0" ), 2, IF( AND( OFFSET($A$1, 88 - 1, 58 - 1) = "0", OFFSET($A$1, 88 - 1, 59 - 1) = "1" ), 3, 4 ) ) )</f>
        <v>4</v>
      </c>
    </row>
    <row r="89" spans="2:60" x14ac:dyDescent="0.25">
      <c r="C89" s="9">
        <v>1</v>
      </c>
      <c r="D89" s="7">
        <f ca="1" xml:space="preserve"> COUNTIF( OFFSET($A$1, 1 - 1, 55 - 1, 301, 1), 1 )</f>
        <v>0</v>
      </c>
      <c r="E89" s="7">
        <f ca="1" xml:space="preserve"> COUNTIF( OFFSET($A$1, 1 - 1, 55 - 1, 301, 1), 2 )</f>
        <v>59</v>
      </c>
      <c r="AZ89" s="7">
        <v>0.18478254526686791</v>
      </c>
      <c r="BA89" s="7" t="str">
        <f>"1"</f>
        <v>1</v>
      </c>
      <c r="BB89" t="str">
        <f ca="1">IF((OFFSET($A$1, 89 - 1, 52 - 1)) &gt;= (OFFSET($A$1, 84 - 1, 7 - 1)), "1","0")</f>
        <v>0</v>
      </c>
      <c r="BC89">
        <f ca="1" xml:space="preserve"> IF( AND( OFFSET($A$1, 89 - 1, 53 - 1) = "1", OFFSET($A$1, 89 - 1, 54 - 1) = "1" ), 1, IF( AND( OFFSET($A$1, 89 - 1, 53 - 1) = "1", OFFSET($A$1, 89 - 1, 54 - 1) = "0" ), 2, IF( AND( OFFSET($A$1, 89 - 1, 53 - 1) = "0", OFFSET($A$1, 89 - 1, 54 - 1) = "1" ), 3, 4 ) ) )</f>
        <v>2</v>
      </c>
      <c r="BE89" s="7">
        <v>0.16654356331094533</v>
      </c>
      <c r="BF89" s="7" t="str">
        <f>"1"</f>
        <v>1</v>
      </c>
      <c r="BG89" t="str">
        <f ca="1">IF((OFFSET($A$1, 89 - 1, 57 - 1)) &gt;= (OFFSET($A$1, 108 - 1, 7 - 1)), "1","0")</f>
        <v>0</v>
      </c>
      <c r="BH89">
        <f ca="1" xml:space="preserve"> IF( AND( OFFSET($A$1, 89 - 1, 58 - 1) = "1", OFFSET($A$1, 89 - 1, 59 - 1) = "1" ), 1, IF( AND( OFFSET($A$1, 89 - 1, 58 - 1) = "1", OFFSET($A$1, 89 - 1, 59 - 1) = "0" ), 2, IF( AND( OFFSET($A$1, 89 - 1, 58 - 1) = "0", OFFSET($A$1, 89 - 1, 59 - 1) = "1" ), 3, 4 ) ) )</f>
        <v>2</v>
      </c>
    </row>
    <row r="90" spans="2:60" x14ac:dyDescent="0.25">
      <c r="C90" s="9">
        <v>0</v>
      </c>
      <c r="D90" s="7">
        <f ca="1" xml:space="preserve"> COUNTIF( OFFSET($A$1, 1 - 1, 55 - 1, 301, 1), 3 )</f>
        <v>0</v>
      </c>
      <c r="E90" s="7">
        <f ca="1" xml:space="preserve"> COUNTIF( OFFSET($A$1, 1 - 1, 55 - 1, 301, 1), 4 )</f>
        <v>241</v>
      </c>
      <c r="AZ90" s="7">
        <v>0.11493233998572341</v>
      </c>
      <c r="BA90" s="7" t="str">
        <f>"0"</f>
        <v>0</v>
      </c>
      <c r="BB90" t="str">
        <f ca="1">IF((OFFSET($A$1, 90 - 1, 52 - 1)) &gt;= (OFFSET($A$1, 84 - 1, 7 - 1)), "1","0")</f>
        <v>0</v>
      </c>
      <c r="BC90">
        <f ca="1" xml:space="preserve"> IF( AND( OFFSET($A$1, 90 - 1, 53 - 1) = "1", OFFSET($A$1, 90 - 1, 54 - 1) = "1" ), 1, IF( AND( OFFSET($A$1, 90 - 1, 53 - 1) = "1", OFFSET($A$1, 90 - 1, 54 - 1) = "0" ), 2, IF( AND( OFFSET($A$1, 90 - 1, 53 - 1) = "0", OFFSET($A$1, 90 - 1, 54 - 1) = "1" ), 3, 4 ) ) )</f>
        <v>4</v>
      </c>
      <c r="BE90" s="7">
        <v>0.1033015407446706</v>
      </c>
      <c r="BF90" s="7" t="str">
        <f>"0"</f>
        <v>0</v>
      </c>
      <c r="BG90" t="str">
        <f ca="1">IF((OFFSET($A$1, 90 - 1, 57 - 1)) &gt;= (OFFSET($A$1, 108 - 1, 7 - 1)), "1","0")</f>
        <v>0</v>
      </c>
      <c r="BH90">
        <f ca="1" xml:space="preserve"> IF( AND( OFFSET($A$1, 90 - 1, 58 - 1) = "1", OFFSET($A$1, 90 - 1, 59 - 1) = "1" ), 1, IF( AND( OFFSET($A$1, 90 - 1, 58 - 1) = "1", OFFSET($A$1, 90 - 1, 59 - 1) = "0" ), 2, IF( AND( OFFSET($A$1, 90 - 1, 58 - 1) = "0", OFFSET($A$1, 90 - 1, 59 - 1) = "1" ), 3, 4 ) ) )</f>
        <v>4</v>
      </c>
    </row>
    <row r="91" spans="2:60" x14ac:dyDescent="0.25">
      <c r="AZ91" s="7">
        <v>0.21074991125651371</v>
      </c>
      <c r="BA91" s="7" t="str">
        <f>"0"</f>
        <v>0</v>
      </c>
      <c r="BB91" t="str">
        <f ca="1">IF((OFFSET($A$1, 91 - 1, 52 - 1)) &gt;= (OFFSET($A$1, 84 - 1, 7 - 1)), "1","0")</f>
        <v>0</v>
      </c>
      <c r="BC91">
        <f ca="1" xml:space="preserve"> IF( AND( OFFSET($A$1, 91 - 1, 53 - 1) = "1", OFFSET($A$1, 91 - 1, 54 - 1) = "1" ), 1, IF( AND( OFFSET($A$1, 91 - 1, 53 - 1) = "1", OFFSET($A$1, 91 - 1, 54 - 1) = "0" ), 2, IF( AND( OFFSET($A$1, 91 - 1, 53 - 1) = "0", OFFSET($A$1, 91 - 1, 54 - 1) = "1" ), 3, 4 ) ) )</f>
        <v>4</v>
      </c>
      <c r="BE91" s="7">
        <v>0.11557500266312125</v>
      </c>
      <c r="BF91" s="7" t="str">
        <f>"0"</f>
        <v>0</v>
      </c>
      <c r="BG91" t="str">
        <f ca="1">IF((OFFSET($A$1, 91 - 1, 57 - 1)) &gt;= (OFFSET($A$1, 108 - 1, 7 - 1)), "1","0")</f>
        <v>0</v>
      </c>
      <c r="BH91">
        <f ca="1" xml:space="preserve"> IF( AND( OFFSET($A$1, 91 - 1, 58 - 1) = "1", OFFSET($A$1, 91 - 1, 59 - 1) = "1" ), 1, IF( AND( OFFSET($A$1, 91 - 1, 58 - 1) = "1", OFFSET($A$1, 91 - 1, 59 - 1) = "0" ), 2, IF( AND( OFFSET($A$1, 91 - 1, 58 - 1) = "0", OFFSET($A$1, 91 - 1, 59 - 1) = "1" ), 3, 4 ) ) )</f>
        <v>4</v>
      </c>
    </row>
    <row r="92" spans="2:60" x14ac:dyDescent="0.25">
      <c r="C92" s="11" t="s">
        <v>144</v>
      </c>
      <c r="D92" s="12"/>
      <c r="E92" s="12"/>
      <c r="F92" s="13"/>
      <c r="AZ92" s="7">
        <v>0.22142413698645355</v>
      </c>
      <c r="BA92" s="7" t="str">
        <f>"0"</f>
        <v>0</v>
      </c>
      <c r="BB92" t="str">
        <f ca="1">IF((OFFSET($A$1, 92 - 1, 52 - 1)) &gt;= (OFFSET($A$1, 84 - 1, 7 - 1)), "1","0")</f>
        <v>0</v>
      </c>
      <c r="BC92">
        <f ca="1" xml:space="preserve"> IF( AND( OFFSET($A$1, 92 - 1, 53 - 1) = "1", OFFSET($A$1, 92 - 1, 54 - 1) = "1" ), 1, IF( AND( OFFSET($A$1, 92 - 1, 53 - 1) = "1", OFFSET($A$1, 92 - 1, 54 - 1) = "0" ), 2, IF( AND( OFFSET($A$1, 92 - 1, 53 - 1) = "0", OFFSET($A$1, 92 - 1, 54 - 1) = "1" ), 3, 4 ) ) )</f>
        <v>4</v>
      </c>
      <c r="BE92" s="7">
        <v>0.22580070834568639</v>
      </c>
      <c r="BF92" s="7" t="str">
        <f>"0"</f>
        <v>0</v>
      </c>
      <c r="BG92" t="str">
        <f ca="1">IF((OFFSET($A$1, 92 - 1, 57 - 1)) &gt;= (OFFSET($A$1, 108 - 1, 7 - 1)), "1","0")</f>
        <v>0</v>
      </c>
      <c r="BH92">
        <f ca="1" xml:space="preserve"> IF( AND( OFFSET($A$1, 92 - 1, 58 - 1) = "1", OFFSET($A$1, 92 - 1, 59 - 1) = "1" ), 1, IF( AND( OFFSET($A$1, 92 - 1, 58 - 1) = "1", OFFSET($A$1, 92 - 1, 59 - 1) = "0" ), 2, IF( AND( OFFSET($A$1, 92 - 1, 58 - 1) = "0", OFFSET($A$1, 92 - 1, 59 - 1) = "1" ), 3, 4 ) ) )</f>
        <v>4</v>
      </c>
    </row>
    <row r="93" spans="2:60" x14ac:dyDescent="0.25">
      <c r="C93" s="10" t="s">
        <v>107</v>
      </c>
      <c r="D93" s="10" t="s">
        <v>145</v>
      </c>
      <c r="E93" s="10" t="s">
        <v>146</v>
      </c>
      <c r="F93" s="10" t="s">
        <v>147</v>
      </c>
      <c r="AZ93" s="7">
        <v>0.20722295848358432</v>
      </c>
      <c r="BA93" s="7" t="str">
        <f>"0"</f>
        <v>0</v>
      </c>
      <c r="BB93" t="str">
        <f ca="1">IF((OFFSET($A$1, 93 - 1, 52 - 1)) &gt;= (OFFSET($A$1, 84 - 1, 7 - 1)), "1","0")</f>
        <v>0</v>
      </c>
      <c r="BC93">
        <f ca="1" xml:space="preserve"> IF( AND( OFFSET($A$1, 93 - 1, 53 - 1) = "1", OFFSET($A$1, 93 - 1, 54 - 1) = "1" ), 1, IF( AND( OFFSET($A$1, 93 - 1, 53 - 1) = "1", OFFSET($A$1, 93 - 1, 54 - 1) = "0" ), 2, IF( AND( OFFSET($A$1, 93 - 1, 53 - 1) = "0", OFFSET($A$1, 93 - 1, 54 - 1) = "1" ), 3, 4 ) ) )</f>
        <v>4</v>
      </c>
      <c r="BE93" s="7">
        <v>0.24159733953166854</v>
      </c>
      <c r="BF93" s="7" t="str">
        <f>"0"</f>
        <v>0</v>
      </c>
      <c r="BG93" t="str">
        <f ca="1">IF((OFFSET($A$1, 93 - 1, 57 - 1)) &gt;= (OFFSET($A$1, 108 - 1, 7 - 1)), "1","0")</f>
        <v>0</v>
      </c>
      <c r="BH93">
        <f ca="1" xml:space="preserve"> IF( AND( OFFSET($A$1, 93 - 1, 58 - 1) = "1", OFFSET($A$1, 93 - 1, 59 - 1) = "1" ), 1, IF( AND( OFFSET($A$1, 93 - 1, 58 - 1) = "1", OFFSET($A$1, 93 - 1, 59 - 1) = "0" ), 2, IF( AND( OFFSET($A$1, 93 - 1, 58 - 1) = "0", OFFSET($A$1, 93 - 1, 59 - 1) = "1" ), 3, 4 ) ) )</f>
        <v>4</v>
      </c>
    </row>
    <row r="94" spans="2:60" x14ac:dyDescent="0.25">
      <c r="C94" s="9">
        <v>1</v>
      </c>
      <c r="D94" s="7">
        <f ca="1">SUM(OFFSET($A$1, 89 - 1, 4 - 1, 1, 2))</f>
        <v>59</v>
      </c>
      <c r="E94" s="7">
        <f ca="1">SUM(OFFSET($A$1, 89 - 1, 4 - 1, 1, 2)) - OFFSET($A$1, 89 - 1, 4 - 1)</f>
        <v>59</v>
      </c>
      <c r="F94" s="7">
        <f ca="1">IF(OFFSET($A$1, 94 - 1, 4 - 1)=0,"Undefined",((OFFSET($A$1, 94 - 1, 5 - 1))*100) / (OFFSET($A$1, 94 - 1, 4 - 1)))</f>
        <v>100</v>
      </c>
      <c r="AZ94" s="7">
        <v>0.20350531581163517</v>
      </c>
      <c r="BA94" s="7" t="str">
        <f>"1"</f>
        <v>1</v>
      </c>
      <c r="BB94" t="str">
        <f ca="1">IF((OFFSET($A$1, 94 - 1, 52 - 1)) &gt;= (OFFSET($A$1, 84 - 1, 7 - 1)), "1","0")</f>
        <v>0</v>
      </c>
      <c r="BC94">
        <f ca="1" xml:space="preserve"> IF( AND( OFFSET($A$1, 94 - 1, 53 - 1) = "1", OFFSET($A$1, 94 - 1, 54 - 1) = "1" ), 1, IF( AND( OFFSET($A$1, 94 - 1, 53 - 1) = "1", OFFSET($A$1, 94 - 1, 54 - 1) = "0" ), 2, IF( AND( OFFSET($A$1, 94 - 1, 53 - 1) = "0", OFFSET($A$1, 94 - 1, 54 - 1) = "1" ), 3, 4 ) ) )</f>
        <v>2</v>
      </c>
      <c r="BE94" s="7">
        <v>0.28943168192732205</v>
      </c>
      <c r="BF94" s="7" t="str">
        <f>"0"</f>
        <v>0</v>
      </c>
      <c r="BG94" t="str">
        <f ca="1">IF((OFFSET($A$1, 94 - 1, 57 - 1)) &gt;= (OFFSET($A$1, 108 - 1, 7 - 1)), "1","0")</f>
        <v>0</v>
      </c>
      <c r="BH94">
        <f ca="1" xml:space="preserve"> IF( AND( OFFSET($A$1, 94 - 1, 58 - 1) = "1", OFFSET($A$1, 94 - 1, 59 - 1) = "1" ), 1, IF( AND( OFFSET($A$1, 94 - 1, 58 - 1) = "1", OFFSET($A$1, 94 - 1, 59 - 1) = "0" ), 2, IF( AND( OFFSET($A$1, 94 - 1, 58 - 1) = "0", OFFSET($A$1, 94 - 1, 59 - 1) = "1" ), 3, 4 ) ) )</f>
        <v>4</v>
      </c>
    </row>
    <row r="95" spans="2:60" x14ac:dyDescent="0.25">
      <c r="C95" s="9">
        <v>0</v>
      </c>
      <c r="D95" s="7">
        <f ca="1">SUM(OFFSET($A$1, 90 - 1, 4 - 1, 1, 2))</f>
        <v>241</v>
      </c>
      <c r="E95" s="7">
        <f ca="1">SUM(OFFSET($A$1, 90 - 1, 4 - 1, 1, 2)) - OFFSET($A$1, 90 - 1, 5 - 1)</f>
        <v>0</v>
      </c>
      <c r="F95" s="7">
        <f ca="1">IF(OFFSET($A$1, 95 - 1, 4 - 1)=0,"Undefined",((OFFSET($A$1, 95 - 1, 5 - 1))*100) / (OFFSET($A$1, 95 - 1, 4 - 1)))</f>
        <v>0</v>
      </c>
      <c r="AZ95" s="7">
        <v>0.22690437605456062</v>
      </c>
      <c r="BA95" s="7" t="str">
        <f>"0"</f>
        <v>0</v>
      </c>
      <c r="BB95" t="str">
        <f ca="1">IF((OFFSET($A$1, 95 - 1, 52 - 1)) &gt;= (OFFSET($A$1, 84 - 1, 7 - 1)), "1","0")</f>
        <v>0</v>
      </c>
      <c r="BC95">
        <f ca="1" xml:space="preserve"> IF( AND( OFFSET($A$1, 95 - 1, 53 - 1) = "1", OFFSET($A$1, 95 - 1, 54 - 1) = "1" ), 1, IF( AND( OFFSET($A$1, 95 - 1, 53 - 1) = "1", OFFSET($A$1, 95 - 1, 54 - 1) = "0" ), 2, IF( AND( OFFSET($A$1, 95 - 1, 53 - 1) = "0", OFFSET($A$1, 95 - 1, 54 - 1) = "1" ), 3, 4 ) ) )</f>
        <v>4</v>
      </c>
      <c r="BE95" s="7">
        <v>0.17456658991828952</v>
      </c>
      <c r="BF95" s="7" t="str">
        <f>"1"</f>
        <v>1</v>
      </c>
      <c r="BG95" t="str">
        <f ca="1">IF((OFFSET($A$1, 95 - 1, 57 - 1)) &gt;= (OFFSET($A$1, 108 - 1, 7 - 1)), "1","0")</f>
        <v>0</v>
      </c>
      <c r="BH95">
        <f ca="1" xml:space="preserve"> IF( AND( OFFSET($A$1, 95 - 1, 58 - 1) = "1", OFFSET($A$1, 95 - 1, 59 - 1) = "1" ), 1, IF( AND( OFFSET($A$1, 95 - 1, 58 - 1) = "1", OFFSET($A$1, 95 - 1, 59 - 1) = "0" ), 2, IF( AND( OFFSET($A$1, 95 - 1, 58 - 1) = "0", OFFSET($A$1, 95 - 1, 59 - 1) = "1" ), 3, 4 ) ) )</f>
        <v>2</v>
      </c>
    </row>
    <row r="96" spans="2:60" x14ac:dyDescent="0.25">
      <c r="C96" s="9" t="s">
        <v>148</v>
      </c>
      <c r="D96" s="7">
        <f ca="1">SUM(OFFSET($A$1, 94 - 1, 4 - 1, 2, 1))</f>
        <v>300</v>
      </c>
      <c r="E96" s="7">
        <f ca="1">SUM(OFFSET($A$1, 94 - 1, 5 - 1, 2, 1))</f>
        <v>59</v>
      </c>
      <c r="F96" s="7">
        <f ca="1">IF(OFFSET($A$1, 96 - 1, 4 - 1)=0,"Undefined",((OFFSET($A$1, 96 - 1, 5 - 1))*100) / (OFFSET($A$1, 96 - 1, 4 - 1)))</f>
        <v>19.666666666666668</v>
      </c>
      <c r="AZ96" s="7">
        <v>0.17185890555134051</v>
      </c>
      <c r="BA96" s="7" t="str">
        <f>"1"</f>
        <v>1</v>
      </c>
      <c r="BB96" t="str">
        <f ca="1">IF((OFFSET($A$1, 96 - 1, 52 - 1)) &gt;= (OFFSET($A$1, 84 - 1, 7 - 1)), "1","0")</f>
        <v>0</v>
      </c>
      <c r="BC96">
        <f ca="1" xml:space="preserve"> IF( AND( OFFSET($A$1, 96 - 1, 53 - 1) = "1", OFFSET($A$1, 96 - 1, 54 - 1) = "1" ), 1, IF( AND( OFFSET($A$1, 96 - 1, 53 - 1) = "1", OFFSET($A$1, 96 - 1, 54 - 1) = "0" ), 2, IF( AND( OFFSET($A$1, 96 - 1, 53 - 1) = "0", OFFSET($A$1, 96 - 1, 54 - 1) = "1" ), 3, 4 ) ) )</f>
        <v>2</v>
      </c>
      <c r="BE96" s="7">
        <v>0.16480125917755581</v>
      </c>
      <c r="BF96" s="7" t="str">
        <f>"0"</f>
        <v>0</v>
      </c>
      <c r="BG96" t="str">
        <f ca="1">IF((OFFSET($A$1, 96 - 1, 57 - 1)) &gt;= (OFFSET($A$1, 108 - 1, 7 - 1)), "1","0")</f>
        <v>0</v>
      </c>
      <c r="BH96">
        <f ca="1" xml:space="preserve"> IF( AND( OFFSET($A$1, 96 - 1, 58 - 1) = "1", OFFSET($A$1, 96 - 1, 59 - 1) = "1" ), 1, IF( AND( OFFSET($A$1, 96 - 1, 58 - 1) = "1", OFFSET($A$1, 96 - 1, 59 - 1) = "0" ), 2, IF( AND( OFFSET($A$1, 96 - 1, 58 - 1) = "0", OFFSET($A$1, 96 - 1, 59 - 1) = "1" ), 3, 4 ) ) )</f>
        <v>4</v>
      </c>
    </row>
    <row r="97" spans="2:60" x14ac:dyDescent="0.25">
      <c r="AZ97" s="7">
        <v>0.20045777355238872</v>
      </c>
      <c r="BA97" s="7" t="str">
        <f>"0"</f>
        <v>0</v>
      </c>
      <c r="BB97" t="str">
        <f ca="1">IF((OFFSET($A$1, 97 - 1, 52 - 1)) &gt;= (OFFSET($A$1, 84 - 1, 7 - 1)), "1","0")</f>
        <v>0</v>
      </c>
      <c r="BC97">
        <f ca="1" xml:space="preserve"> IF( AND( OFFSET($A$1, 97 - 1, 53 - 1) = "1", OFFSET($A$1, 97 - 1, 54 - 1) = "1" ), 1, IF( AND( OFFSET($A$1, 97 - 1, 53 - 1) = "1", OFFSET($A$1, 97 - 1, 54 - 1) = "0" ), 2, IF( AND( OFFSET($A$1, 97 - 1, 53 - 1) = "0", OFFSET($A$1, 97 - 1, 54 - 1) = "1" ), 3, 4 ) ) )</f>
        <v>4</v>
      </c>
      <c r="BE97" s="7">
        <v>0.16567057564583784</v>
      </c>
      <c r="BF97" s="7" t="str">
        <f>"0"</f>
        <v>0</v>
      </c>
      <c r="BG97" t="str">
        <f ca="1">IF((OFFSET($A$1, 97 - 1, 57 - 1)) &gt;= (OFFSET($A$1, 108 - 1, 7 - 1)), "1","0")</f>
        <v>0</v>
      </c>
      <c r="BH97">
        <f ca="1" xml:space="preserve"> IF( AND( OFFSET($A$1, 97 - 1, 58 - 1) = "1", OFFSET($A$1, 97 - 1, 59 - 1) = "1" ), 1, IF( AND( OFFSET($A$1, 97 - 1, 58 - 1) = "1", OFFSET($A$1, 97 - 1, 59 - 1) = "0" ), 2, IF( AND( OFFSET($A$1, 97 - 1, 58 - 1) = "0", OFFSET($A$1, 97 - 1, 59 - 1) = "1" ), 3, 4 ) ) )</f>
        <v>4</v>
      </c>
    </row>
    <row r="98" spans="2:60" x14ac:dyDescent="0.25">
      <c r="C98" s="11" t="s">
        <v>149</v>
      </c>
      <c r="D98" s="12"/>
      <c r="E98" s="13"/>
      <c r="AZ98" s="7">
        <v>0.15881832555203282</v>
      </c>
      <c r="BA98" s="7" t="str">
        <f>"0"</f>
        <v>0</v>
      </c>
      <c r="BB98" t="str">
        <f ca="1">IF((OFFSET($A$1, 98 - 1, 52 - 1)) &gt;= (OFFSET($A$1, 84 - 1, 7 - 1)), "1","0")</f>
        <v>0</v>
      </c>
      <c r="BC98">
        <f ca="1" xml:space="preserve"> IF( AND( OFFSET($A$1, 98 - 1, 53 - 1) = "1", OFFSET($A$1, 98 - 1, 54 - 1) = "1" ), 1, IF( AND( OFFSET($A$1, 98 - 1, 53 - 1) = "1", OFFSET($A$1, 98 - 1, 54 - 1) = "0" ), 2, IF( AND( OFFSET($A$1, 98 - 1, 53 - 1) = "0", OFFSET($A$1, 98 - 1, 54 - 1) = "1" ), 3, 4 ) ) )</f>
        <v>4</v>
      </c>
      <c r="BE98" s="7">
        <v>0.26055180003985812</v>
      </c>
      <c r="BF98" s="7" t="str">
        <f>"1"</f>
        <v>1</v>
      </c>
      <c r="BG98" t="str">
        <f ca="1">IF((OFFSET($A$1, 98 - 1, 57 - 1)) &gt;= (OFFSET($A$1, 108 - 1, 7 - 1)), "1","0")</f>
        <v>0</v>
      </c>
      <c r="BH98">
        <f ca="1" xml:space="preserve"> IF( AND( OFFSET($A$1, 98 - 1, 58 - 1) = "1", OFFSET($A$1, 98 - 1, 59 - 1) = "1" ), 1, IF( AND( OFFSET($A$1, 98 - 1, 58 - 1) = "1", OFFSET($A$1, 98 - 1, 59 - 1) = "0" ), 2, IF( AND( OFFSET($A$1, 98 - 1, 58 - 1) = "0", OFFSET($A$1, 98 - 1, 59 - 1) = "1" ), 3, 4 ) ) )</f>
        <v>2</v>
      </c>
    </row>
    <row r="99" spans="2:60" x14ac:dyDescent="0.25">
      <c r="C99" s="14" t="s">
        <v>150</v>
      </c>
      <c r="D99" s="16"/>
      <c r="E99" s="27">
        <v>1</v>
      </c>
      <c r="AZ99" s="7">
        <v>0.16393560795311171</v>
      </c>
      <c r="BA99" s="7" t="str">
        <f>"0"</f>
        <v>0</v>
      </c>
      <c r="BB99" t="str">
        <f ca="1">IF((OFFSET($A$1, 99 - 1, 52 - 1)) &gt;= (OFFSET($A$1, 84 - 1, 7 - 1)), "1","0")</f>
        <v>0</v>
      </c>
      <c r="BC99">
        <f ca="1" xml:space="preserve"> IF( AND( OFFSET($A$1, 99 - 1, 53 - 1) = "1", OFFSET($A$1, 99 - 1, 54 - 1) = "1" ), 1, IF( AND( OFFSET($A$1, 99 - 1, 53 - 1) = "1", OFFSET($A$1, 99 - 1, 54 - 1) = "0" ), 2, IF( AND( OFFSET($A$1, 99 - 1, 53 - 1) = "0", OFFSET($A$1, 99 - 1, 54 - 1) = "1" ), 3, 4 ) ) )</f>
        <v>4</v>
      </c>
      <c r="BE99" s="7">
        <v>0.14316815580853956</v>
      </c>
      <c r="BF99" s="7" t="str">
        <f>"0"</f>
        <v>0</v>
      </c>
      <c r="BG99" t="str">
        <f ca="1">IF((OFFSET($A$1, 99 - 1, 57 - 1)) &gt;= (OFFSET($A$1, 108 - 1, 7 - 1)), "1","0")</f>
        <v>0</v>
      </c>
      <c r="BH99">
        <f ca="1" xml:space="preserve"> IF( AND( OFFSET($A$1, 99 - 1, 58 - 1) = "1", OFFSET($A$1, 99 - 1, 59 - 1) = "1" ), 1, IF( AND( OFFSET($A$1, 99 - 1, 58 - 1) = "1", OFFSET($A$1, 99 - 1, 59 - 1) = "0" ), 2, IF( AND( OFFSET($A$1, 99 - 1, 58 - 1) = "0", OFFSET($A$1, 99 - 1, 59 - 1) = "1" ), 3, 4 ) ) )</f>
        <v>4</v>
      </c>
    </row>
    <row r="100" spans="2:60" x14ac:dyDescent="0.25">
      <c r="C100" s="14" t="s">
        <v>151</v>
      </c>
      <c r="D100" s="16"/>
      <c r="E100" s="27" t="str">
        <f ca="1">IF((OFFSET($A$1, 89 - 1, 4 - 1) + OFFSET($A$1, 90 - 1, 4 - 1)) = 0,"Undefined",OFFSET($A$1, 89 - 1, 4 - 1)/(OFFSET($A$1, 89 - 1, 4 - 1) + OFFSET($A$1, 90 - 1, 4 - 1)))</f>
        <v>Undefined</v>
      </c>
      <c r="AZ100" s="7">
        <v>0.24159733953166854</v>
      </c>
      <c r="BA100" s="7" t="str">
        <f>"0"</f>
        <v>0</v>
      </c>
      <c r="BB100" t="str">
        <f ca="1">IF((OFFSET($A$1, 100 - 1, 52 - 1)) &gt;= (OFFSET($A$1, 84 - 1, 7 - 1)), "1","0")</f>
        <v>0</v>
      </c>
      <c r="BC100">
        <f ca="1" xml:space="preserve"> IF( AND( OFFSET($A$1, 100 - 1, 53 - 1) = "1", OFFSET($A$1, 100 - 1, 54 - 1) = "1" ), 1, IF( AND( OFFSET($A$1, 100 - 1, 53 - 1) = "1", OFFSET($A$1, 100 - 1, 54 - 1) = "0" ), 2, IF( AND( OFFSET($A$1, 100 - 1, 53 - 1) = "0", OFFSET($A$1, 100 - 1, 54 - 1) = "1" ), 3, 4 ) ) )</f>
        <v>4</v>
      </c>
      <c r="BE100" s="7">
        <v>0.20209380846371786</v>
      </c>
      <c r="BF100" s="7" t="str">
        <f>"0"</f>
        <v>0</v>
      </c>
      <c r="BG100" t="str">
        <f ca="1">IF((OFFSET($A$1, 100 - 1, 57 - 1)) &gt;= (OFFSET($A$1, 108 - 1, 7 - 1)), "1","0")</f>
        <v>0</v>
      </c>
      <c r="BH100">
        <f ca="1" xml:space="preserve"> IF( AND( OFFSET($A$1, 100 - 1, 58 - 1) = "1", OFFSET($A$1, 100 - 1, 59 - 1) = "1" ), 1, IF( AND( OFFSET($A$1, 100 - 1, 58 - 1) = "1", OFFSET($A$1, 100 - 1, 59 - 1) = "0" ), 2, IF( AND( OFFSET($A$1, 100 - 1, 58 - 1) = "0", OFFSET($A$1, 100 - 1, 59 - 1) = "1" ), 3, 4 ) ) )</f>
        <v>4</v>
      </c>
    </row>
    <row r="101" spans="2:60" x14ac:dyDescent="0.25">
      <c r="C101" s="14" t="s">
        <v>152</v>
      </c>
      <c r="D101" s="16"/>
      <c r="E101" s="27">
        <f ca="1">IF((OFFSET($A$1, 89 - 1, 4 - 1) + OFFSET($A$1, 89 - 1, 5 - 1)) = 0,"Undefined",OFFSET($A$1, 89 - 1, 4 - 1)/(OFFSET($A$1, 89 - 1, 4 - 1) + OFFSET($A$1, 89 - 1, 5 - 1)))</f>
        <v>0</v>
      </c>
      <c r="AZ101" s="7">
        <v>0.15433636187502889</v>
      </c>
      <c r="BA101" s="7" t="str">
        <f>"0"</f>
        <v>0</v>
      </c>
      <c r="BB101" t="str">
        <f ca="1">IF((OFFSET($A$1, 101 - 1, 52 - 1)) &gt;= (OFFSET($A$1, 84 - 1, 7 - 1)), "1","0")</f>
        <v>0</v>
      </c>
      <c r="BC101">
        <f ca="1" xml:space="preserve"> IF( AND( OFFSET($A$1, 101 - 1, 53 - 1) = "1", OFFSET($A$1, 101 - 1, 54 - 1) = "1" ), 1, IF( AND( OFFSET($A$1, 101 - 1, 53 - 1) = "1", OFFSET($A$1, 101 - 1, 54 - 1) = "0" ), 2, IF( AND( OFFSET($A$1, 101 - 1, 53 - 1) = "0", OFFSET($A$1, 101 - 1, 54 - 1) = "1" ), 3, 4 ) ) )</f>
        <v>4</v>
      </c>
      <c r="BE101" s="7">
        <v>0.18008266591146496</v>
      </c>
      <c r="BF101" s="7" t="str">
        <f>"0"</f>
        <v>0</v>
      </c>
      <c r="BG101" t="str">
        <f ca="1">IF((OFFSET($A$1, 101 - 1, 57 - 1)) &gt;= (OFFSET($A$1, 108 - 1, 7 - 1)), "1","0")</f>
        <v>0</v>
      </c>
      <c r="BH101">
        <f ca="1" xml:space="preserve"> IF( AND( OFFSET($A$1, 101 - 1, 58 - 1) = "1", OFFSET($A$1, 101 - 1, 59 - 1) = "1" ), 1, IF( AND( OFFSET($A$1, 101 - 1, 58 - 1) = "1", OFFSET($A$1, 101 - 1, 59 - 1) = "0" ), 2, IF( AND( OFFSET($A$1, 101 - 1, 58 - 1) = "0", OFFSET($A$1, 101 - 1, 59 - 1) = "1" ), 3, 4 ) ) )</f>
        <v>4</v>
      </c>
    </row>
    <row r="102" spans="2:60" x14ac:dyDescent="0.25">
      <c r="C102" s="14" t="s">
        <v>153</v>
      </c>
      <c r="D102" s="16"/>
      <c r="E102" s="27">
        <f ca="1">IF((OFFSET($A$1, 90 - 1, 4 - 1) + OFFSET($A$1, 90 - 1, 5 - 1)) = 0,"Undefined",OFFSET($A$1, 90 - 1, 5 - 1)/(OFFSET($A$1, 90 - 1, 4 - 1) + OFFSET($A$1, 90 - 1, 5 - 1)))</f>
        <v>1</v>
      </c>
      <c r="AZ102" s="7">
        <v>0.22251256112079107</v>
      </c>
      <c r="BA102" s="7" t="str">
        <f>"1"</f>
        <v>1</v>
      </c>
      <c r="BB102" t="str">
        <f ca="1">IF((OFFSET($A$1, 102 - 1, 52 - 1)) &gt;= (OFFSET($A$1, 84 - 1, 7 - 1)), "1","0")</f>
        <v>0</v>
      </c>
      <c r="BC102">
        <f ca="1" xml:space="preserve"> IF( AND( OFFSET($A$1, 102 - 1, 53 - 1) = "1", OFFSET($A$1, 102 - 1, 54 - 1) = "1" ), 1, IF( AND( OFFSET($A$1, 102 - 1, 53 - 1) = "1", OFFSET($A$1, 102 - 1, 54 - 1) = "0" ), 2, IF( AND( OFFSET($A$1, 102 - 1, 53 - 1) = "0", OFFSET($A$1, 102 - 1, 54 - 1) = "1" ), 3, 4 ) ) )</f>
        <v>2</v>
      </c>
      <c r="BE102" s="7">
        <v>0.17547659525106013</v>
      </c>
      <c r="BF102" s="7" t="str">
        <f>"0"</f>
        <v>0</v>
      </c>
      <c r="BG102" t="str">
        <f ca="1">IF((OFFSET($A$1, 102 - 1, 57 - 1)) &gt;= (OFFSET($A$1, 108 - 1, 7 - 1)), "1","0")</f>
        <v>0</v>
      </c>
      <c r="BH102">
        <f ca="1" xml:space="preserve"> IF( AND( OFFSET($A$1, 102 - 1, 58 - 1) = "1", OFFSET($A$1, 102 - 1, 59 - 1) = "1" ), 1, IF( AND( OFFSET($A$1, 102 - 1, 58 - 1) = "1", OFFSET($A$1, 102 - 1, 59 - 1) = "0" ), 2, IF( AND( OFFSET($A$1, 102 - 1, 58 - 1) = "0", OFFSET($A$1, 102 - 1, 59 - 1) = "1" ), 3, 4 ) ) )</f>
        <v>4</v>
      </c>
    </row>
    <row r="103" spans="2:60" x14ac:dyDescent="0.25">
      <c r="C103" s="14" t="s">
        <v>154</v>
      </c>
      <c r="D103" s="16"/>
      <c r="E103" s="27" t="str">
        <f ca="1">IF(OR(OFFSET($A$1, 100 - 1, 5 - 1)="Undefined",OFFSET($A$1, 101 - 1, 5 - 1)="Undefined"),"Undefined",IF((OFFSET($A$1, 100 - 1, 5 - 1) + OFFSET($A$1, 101 - 1, 5 - 1))=0,"Undefined",2*OFFSET($A$1, 100 - 1, 5 - 1)*OFFSET($A$1, 101 - 1, 5 - 1)/(OFFSET($A$1, 100 - 1, 5 - 1)+OFFSET($A$1, 101 - 1, 5 - 1))))</f>
        <v>Undefined</v>
      </c>
      <c r="AZ103" s="7">
        <v>0.12628879786244532</v>
      </c>
      <c r="BA103" s="7" t="str">
        <f>"0"</f>
        <v>0</v>
      </c>
      <c r="BB103" t="str">
        <f ca="1">IF((OFFSET($A$1, 103 - 1, 52 - 1)) &gt;= (OFFSET($A$1, 84 - 1, 7 - 1)), "1","0")</f>
        <v>0</v>
      </c>
      <c r="BC103">
        <f ca="1" xml:space="preserve"> IF( AND( OFFSET($A$1, 103 - 1, 53 - 1) = "1", OFFSET($A$1, 103 - 1, 54 - 1) = "1" ), 1, IF( AND( OFFSET($A$1, 103 - 1, 53 - 1) = "1", OFFSET($A$1, 103 - 1, 54 - 1) = "0" ), 2, IF( AND( OFFSET($A$1, 103 - 1, 53 - 1) = "0", OFFSET($A$1, 103 - 1, 54 - 1) = "1" ), 3, 4 ) ) )</f>
        <v>4</v>
      </c>
      <c r="BE103" s="7">
        <v>0.27790687987271895</v>
      </c>
      <c r="BF103" s="7" t="str">
        <f>"0"</f>
        <v>0</v>
      </c>
      <c r="BG103" t="str">
        <f ca="1">IF((OFFSET($A$1, 103 - 1, 57 - 1)) &gt;= (OFFSET($A$1, 108 - 1, 7 - 1)), "1","0")</f>
        <v>0</v>
      </c>
      <c r="BH103">
        <f ca="1" xml:space="preserve"> IF( AND( OFFSET($A$1, 103 - 1, 58 - 1) = "1", OFFSET($A$1, 103 - 1, 59 - 1) = "1" ), 1, IF( AND( OFFSET($A$1, 103 - 1, 58 - 1) = "1", OFFSET($A$1, 103 - 1, 59 - 1) = "0" ), 2, IF( AND( OFFSET($A$1, 103 - 1, 58 - 1) = "0", OFFSET($A$1, 103 - 1, 59 - 1) = "1" ), 3, 4 ) ) )</f>
        <v>4</v>
      </c>
    </row>
    <row r="104" spans="2:60" x14ac:dyDescent="0.25">
      <c r="AZ104" s="7">
        <v>0.17639033066452067</v>
      </c>
      <c r="BA104" s="7" t="str">
        <f>"0"</f>
        <v>0</v>
      </c>
      <c r="BB104" t="str">
        <f ca="1">IF((OFFSET($A$1, 104 - 1, 52 - 1)) &gt;= (OFFSET($A$1, 84 - 1, 7 - 1)), "1","0")</f>
        <v>0</v>
      </c>
      <c r="BC104">
        <f ca="1" xml:space="preserve"> IF( AND( OFFSET($A$1, 104 - 1, 53 - 1) = "1", OFFSET($A$1, 104 - 1, 54 - 1) = "1" ), 1, IF( AND( OFFSET($A$1, 104 - 1, 53 - 1) = "1", OFFSET($A$1, 104 - 1, 54 - 1) = "0" ), 2, IF( AND( OFFSET($A$1, 104 - 1, 53 - 1) = "0", OFFSET($A$1, 104 - 1, 54 - 1) = "1" ), 3, 4 ) ) )</f>
        <v>4</v>
      </c>
      <c r="BE104" s="7">
        <v>0.18861032295544114</v>
      </c>
      <c r="BF104" s="7" t="str">
        <f>"0"</f>
        <v>0</v>
      </c>
      <c r="BG104" t="str">
        <f ca="1">IF((OFFSET($A$1, 104 - 1, 57 - 1)) &gt;= (OFFSET($A$1, 108 - 1, 7 - 1)), "1","0")</f>
        <v>0</v>
      </c>
      <c r="BH104">
        <f ca="1" xml:space="preserve"> IF( AND( OFFSET($A$1, 104 - 1, 58 - 1) = "1", OFFSET($A$1, 104 - 1, 59 - 1) = "1" ), 1, IF( AND( OFFSET($A$1, 104 - 1, 58 - 1) = "1", OFFSET($A$1, 104 - 1, 59 - 1) = "0" ), 2, IF( AND( OFFSET($A$1, 104 - 1, 58 - 1) = "0", OFFSET($A$1, 104 - 1, 59 - 1) = "1" ), 3, 4 ) ) )</f>
        <v>4</v>
      </c>
    </row>
    <row r="105" spans="2:60" x14ac:dyDescent="0.25">
      <c r="AZ105" s="7">
        <v>0.20146980513632695</v>
      </c>
      <c r="BA105" s="7" t="str">
        <f>"1"</f>
        <v>1</v>
      </c>
      <c r="BB105" t="str">
        <f ca="1">IF((OFFSET($A$1, 105 - 1, 52 - 1)) &gt;= (OFFSET($A$1, 84 - 1, 7 - 1)), "1","0")</f>
        <v>0</v>
      </c>
      <c r="BC105">
        <f ca="1" xml:space="preserve"> IF( AND( OFFSET($A$1, 105 - 1, 53 - 1) = "1", OFFSET($A$1, 105 - 1, 54 - 1) = "1" ), 1, IF( AND( OFFSET($A$1, 105 - 1, 53 - 1) = "1", OFFSET($A$1, 105 - 1, 54 - 1) = "0" ), 2, IF( AND( OFFSET($A$1, 105 - 1, 53 - 1) = "0", OFFSET($A$1, 105 - 1, 54 - 1) = "1" ), 3, 4 ) ) )</f>
        <v>2</v>
      </c>
      <c r="BE105" s="7">
        <v>0.20658721836771066</v>
      </c>
      <c r="BF105" s="7" t="str">
        <f>"0"</f>
        <v>0</v>
      </c>
      <c r="BG105" t="str">
        <f ca="1">IF((OFFSET($A$1, 105 - 1, 57 - 1)) &gt;= (OFFSET($A$1, 108 - 1, 7 - 1)), "1","0")</f>
        <v>0</v>
      </c>
      <c r="BH105">
        <f ca="1" xml:space="preserve"> IF( AND( OFFSET($A$1, 105 - 1, 58 - 1) = "1", OFFSET($A$1, 105 - 1, 59 - 1) = "1" ), 1, IF( AND( OFFSET($A$1, 105 - 1, 58 - 1) = "1", OFFSET($A$1, 105 - 1, 59 - 1) = "0" ), 2, IF( AND( OFFSET($A$1, 105 - 1, 58 - 1) = "0", OFFSET($A$1, 105 - 1, 59 - 1) = "1" ), 3, 4 ) ) )</f>
        <v>4</v>
      </c>
    </row>
    <row r="106" spans="2:60" ht="18.75" x14ac:dyDescent="0.3">
      <c r="B106" s="26" t="s">
        <v>155</v>
      </c>
      <c r="AZ106" s="7">
        <v>0.19348024263377261</v>
      </c>
      <c r="BA106" s="7" t="str">
        <f>"1"</f>
        <v>1</v>
      </c>
      <c r="BB106" t="str">
        <f ca="1">IF((OFFSET($A$1, 106 - 1, 52 - 1)) &gt;= (OFFSET($A$1, 84 - 1, 7 - 1)), "1","0")</f>
        <v>0</v>
      </c>
      <c r="BC106">
        <f ca="1" xml:space="preserve"> IF( AND( OFFSET($A$1, 106 - 1, 53 - 1) = "1", OFFSET($A$1, 106 - 1, 54 - 1) = "1" ), 1, IF( AND( OFFSET($A$1, 106 - 1, 53 - 1) = "1", OFFSET($A$1, 106 - 1, 54 - 1) = "0" ), 2, IF( AND( OFFSET($A$1, 106 - 1, 53 - 1) = "0", OFFSET($A$1, 106 - 1, 54 - 1) = "1" ), 3, 4 ) ) )</f>
        <v>2</v>
      </c>
      <c r="BE106" s="7">
        <v>0.20970350542611282</v>
      </c>
      <c r="BF106" s="7" t="str">
        <f>"0"</f>
        <v>0</v>
      </c>
      <c r="BG106" t="str">
        <f ca="1">IF((OFFSET($A$1, 106 - 1, 57 - 1)) &gt;= (OFFSET($A$1, 108 - 1, 7 - 1)), "1","0")</f>
        <v>0</v>
      </c>
      <c r="BH106">
        <f ca="1" xml:space="preserve"> IF( AND( OFFSET($A$1, 106 - 1, 58 - 1) = "1", OFFSET($A$1, 106 - 1, 59 - 1) = "1" ), 1, IF( AND( OFFSET($A$1, 106 - 1, 58 - 1) = "1", OFFSET($A$1, 106 - 1, 59 - 1) = "0" ), 2, IF( AND( OFFSET($A$1, 106 - 1, 58 - 1) = "0", OFFSET($A$1, 106 - 1, 59 - 1) = "1" ), 3, 4 ) ) )</f>
        <v>4</v>
      </c>
    </row>
    <row r="107" spans="2:60" x14ac:dyDescent="0.25">
      <c r="AZ107" s="7">
        <v>0.18764770809113901</v>
      </c>
      <c r="BA107" s="7" t="str">
        <f>"1"</f>
        <v>1</v>
      </c>
      <c r="BB107" t="str">
        <f ca="1">IF((OFFSET($A$1, 107 - 1, 52 - 1)) &gt;= (OFFSET($A$1, 84 - 1, 7 - 1)), "1","0")</f>
        <v>0</v>
      </c>
      <c r="BC107">
        <f ca="1" xml:space="preserve"> IF( AND( OFFSET($A$1, 107 - 1, 53 - 1) = "1", OFFSET($A$1, 107 - 1, 54 - 1) = "1" ), 1, IF( AND( OFFSET($A$1, 107 - 1, 53 - 1) = "1", OFFSET($A$1, 107 - 1, 54 - 1) = "0" ), 2, IF( AND( OFFSET($A$1, 107 - 1, 53 - 1) = "0", OFFSET($A$1, 107 - 1, 54 - 1) = "1" ), 3, 4 ) ) )</f>
        <v>2</v>
      </c>
      <c r="BE107" s="7">
        <v>0.16136058479674609</v>
      </c>
      <c r="BF107" s="7" t="str">
        <f>"0"</f>
        <v>0</v>
      </c>
      <c r="BG107" t="str">
        <f ca="1">IF((OFFSET($A$1, 107 - 1, 57 - 1)) &gt;= (OFFSET($A$1, 108 - 1, 7 - 1)), "1","0")</f>
        <v>0</v>
      </c>
      <c r="BH107">
        <f ca="1" xml:space="preserve"> IF( AND( OFFSET($A$1, 107 - 1, 58 - 1) = "1", OFFSET($A$1, 107 - 1, 59 - 1) = "1" ), 1, IF( AND( OFFSET($A$1, 107 - 1, 58 - 1) = "1", OFFSET($A$1, 107 - 1, 59 - 1) = "0" ), 2, IF( AND( OFFSET($A$1, 107 - 1, 58 - 1) = "0", OFFSET($A$1, 107 - 1, 59 - 1) = "1" ), 3, 4 ) ) )</f>
        <v>4</v>
      </c>
    </row>
    <row r="108" spans="2:60" x14ac:dyDescent="0.25">
      <c r="C108" s="41" t="s">
        <v>139</v>
      </c>
      <c r="D108" s="42"/>
      <c r="E108" s="42"/>
      <c r="F108" s="43"/>
      <c r="G108" s="31">
        <v>0.5</v>
      </c>
      <c r="H108" s="41" t="s">
        <v>140</v>
      </c>
      <c r="I108" s="42"/>
      <c r="J108" s="42"/>
      <c r="K108" s="42"/>
      <c r="L108" s="42"/>
      <c r="M108" s="43"/>
      <c r="AZ108" s="7">
        <v>0.18573382262887411</v>
      </c>
      <c r="BA108" s="7" t="str">
        <f>"0"</f>
        <v>0</v>
      </c>
      <c r="BB108" t="str">
        <f ca="1">IF((OFFSET($A$1, 108 - 1, 52 - 1)) &gt;= (OFFSET($A$1, 84 - 1, 7 - 1)), "1","0")</f>
        <v>0</v>
      </c>
      <c r="BC108">
        <f ca="1" xml:space="preserve"> IF( AND( OFFSET($A$1, 108 - 1, 53 - 1) = "1", OFFSET($A$1, 108 - 1, 54 - 1) = "1" ), 1, IF( AND( OFFSET($A$1, 108 - 1, 53 - 1) = "1", OFFSET($A$1, 108 - 1, 54 - 1) = "0" ), 2, IF( AND( OFFSET($A$1, 108 - 1, 53 - 1) = "0", OFFSET($A$1, 108 - 1, 54 - 1) = "1" ), 3, 4 ) ) )</f>
        <v>4</v>
      </c>
      <c r="BE108" s="7">
        <v>0.1934802426337725</v>
      </c>
      <c r="BF108" s="7" t="str">
        <f>"0"</f>
        <v>0</v>
      </c>
      <c r="BG108" t="str">
        <f ca="1">IF((OFFSET($A$1, 108 - 1, 57 - 1)) &gt;= (OFFSET($A$1, 108 - 1, 7 - 1)), "1","0")</f>
        <v>0</v>
      </c>
      <c r="BH108">
        <f ca="1" xml:space="preserve"> IF( AND( OFFSET($A$1, 108 - 1, 58 - 1) = "1", OFFSET($A$1, 108 - 1, 59 - 1) = "1" ), 1, IF( AND( OFFSET($A$1, 108 - 1, 58 - 1) = "1", OFFSET($A$1, 108 - 1, 59 - 1) = "0" ), 2, IF( AND( OFFSET($A$1, 108 - 1, 58 - 1) = "0", OFFSET($A$1, 108 - 1, 59 - 1) = "1" ), 3, 4 ) ) )</f>
        <v>4</v>
      </c>
    </row>
    <row r="109" spans="2:60" x14ac:dyDescent="0.25">
      <c r="AZ109" s="7">
        <v>0.16393560795311171</v>
      </c>
      <c r="BA109" s="7" t="str">
        <f>"0"</f>
        <v>0</v>
      </c>
      <c r="BB109" t="str">
        <f ca="1">IF((OFFSET($A$1, 109 - 1, 52 - 1)) &gt;= (OFFSET($A$1, 84 - 1, 7 - 1)), "1","0")</f>
        <v>0</v>
      </c>
      <c r="BC109">
        <f ca="1" xml:space="preserve"> IF( AND( OFFSET($A$1, 109 - 1, 53 - 1) = "1", OFFSET($A$1, 109 - 1, 54 - 1) = "1" ), 1, IF( AND( OFFSET($A$1, 109 - 1, 53 - 1) = "1", OFFSET($A$1, 109 - 1, 54 - 1) = "0" ), 2, IF( AND( OFFSET($A$1, 109 - 1, 53 - 1) = "0", OFFSET($A$1, 109 - 1, 54 - 1) = "1" ), 3, 4 ) ) )</f>
        <v>4</v>
      </c>
      <c r="BE109" s="7">
        <v>0.23473646538289375</v>
      </c>
      <c r="BF109" s="7" t="str">
        <f>"0"</f>
        <v>0</v>
      </c>
      <c r="BG109" t="str">
        <f ca="1">IF((OFFSET($A$1, 109 - 1, 57 - 1)) &gt;= (OFFSET($A$1, 108 - 1, 7 - 1)), "1","0")</f>
        <v>0</v>
      </c>
      <c r="BH109">
        <f ca="1" xml:space="preserve"> IF( AND( OFFSET($A$1, 109 - 1, 58 - 1) = "1", OFFSET($A$1, 109 - 1, 59 - 1) = "1" ), 1, IF( AND( OFFSET($A$1, 109 - 1, 58 - 1) = "1", OFFSET($A$1, 109 - 1, 59 - 1) = "0" ), 2, IF( AND( OFFSET($A$1, 109 - 1, 58 - 1) = "0", OFFSET($A$1, 109 - 1, 59 - 1) = "1" ), 3, 4 ) ) )</f>
        <v>4</v>
      </c>
    </row>
    <row r="110" spans="2:60" x14ac:dyDescent="0.25">
      <c r="C110" s="11" t="s">
        <v>141</v>
      </c>
      <c r="D110" s="12"/>
      <c r="E110" s="13"/>
      <c r="AZ110" s="7">
        <v>0.14115850466606586</v>
      </c>
      <c r="BA110" s="7" t="str">
        <f>"0"</f>
        <v>0</v>
      </c>
      <c r="BB110" t="str">
        <f ca="1">IF((OFFSET($A$1, 110 - 1, 52 - 1)) &gt;= (OFFSET($A$1, 84 - 1, 7 - 1)), "1","0")</f>
        <v>0</v>
      </c>
      <c r="BC110">
        <f ca="1" xml:space="preserve"> IF( AND( OFFSET($A$1, 110 - 1, 53 - 1) = "1", OFFSET($A$1, 110 - 1, 54 - 1) = "1" ), 1, IF( AND( OFFSET($A$1, 110 - 1, 53 - 1) = "1", OFFSET($A$1, 110 - 1, 54 - 1) = "0" ), 2, IF( AND( OFFSET($A$1, 110 - 1, 53 - 1) = "0", OFFSET($A$1, 110 - 1, 54 - 1) = "1" ), 3, 4 ) ) )</f>
        <v>4</v>
      </c>
      <c r="BE110" s="7">
        <v>0.24159733953166854</v>
      </c>
      <c r="BF110" s="7" t="str">
        <f>"0"</f>
        <v>0</v>
      </c>
      <c r="BG110" t="str">
        <f ca="1">IF((OFFSET($A$1, 110 - 1, 57 - 1)) &gt;= (OFFSET($A$1, 108 - 1, 7 - 1)), "1","0")</f>
        <v>0</v>
      </c>
      <c r="BH110">
        <f ca="1" xml:space="preserve"> IF( AND( OFFSET($A$1, 110 - 1, 58 - 1) = "1", OFFSET($A$1, 110 - 1, 59 - 1) = "1" ), 1, IF( AND( OFFSET($A$1, 110 - 1, 58 - 1) = "1", OFFSET($A$1, 110 - 1, 59 - 1) = "0" ), 2, IF( AND( OFFSET($A$1, 110 - 1, 58 - 1) = "0", OFFSET($A$1, 110 - 1, 59 - 1) = "1" ), 3, 4 ) ) )</f>
        <v>4</v>
      </c>
    </row>
    <row r="111" spans="2:60" x14ac:dyDescent="0.25">
      <c r="C111" s="10"/>
      <c r="D111" s="44" t="s">
        <v>142</v>
      </c>
      <c r="E111" s="45"/>
      <c r="AZ111" s="7">
        <v>0.21350402537227284</v>
      </c>
      <c r="BA111" s="7" t="str">
        <f>"0"</f>
        <v>0</v>
      </c>
      <c r="BB111" t="str">
        <f ca="1">IF((OFFSET($A$1, 111 - 1, 52 - 1)) &gt;= (OFFSET($A$1, 84 - 1, 7 - 1)), "1","0")</f>
        <v>0</v>
      </c>
      <c r="BC111">
        <f ca="1" xml:space="preserve"> IF( AND( OFFSET($A$1, 111 - 1, 53 - 1) = "1", OFFSET($A$1, 111 - 1, 54 - 1) = "1" ), 1, IF( AND( OFFSET($A$1, 111 - 1, 53 - 1) = "1", OFFSET($A$1, 111 - 1, 54 - 1) = "0" ), 2, IF( AND( OFFSET($A$1, 111 - 1, 53 - 1) = "0", OFFSET($A$1, 111 - 1, 54 - 1) = "1" ), 3, 4 ) ) )</f>
        <v>4</v>
      </c>
      <c r="BE111" s="7">
        <v>0.165335205654428</v>
      </c>
      <c r="BF111" s="7" t="str">
        <f>"0"</f>
        <v>0</v>
      </c>
      <c r="BG111" t="str">
        <f ca="1">IF((OFFSET($A$1, 111 - 1, 57 - 1)) &gt;= (OFFSET($A$1, 108 - 1, 7 - 1)), "1","0")</f>
        <v>0</v>
      </c>
      <c r="BH111">
        <f ca="1" xml:space="preserve"> IF( AND( OFFSET($A$1, 111 - 1, 58 - 1) = "1", OFFSET($A$1, 111 - 1, 59 - 1) = "1" ), 1, IF( AND( OFFSET($A$1, 111 - 1, 58 - 1) = "1", OFFSET($A$1, 111 - 1, 59 - 1) = "0" ), 2, IF( AND( OFFSET($A$1, 111 - 1, 58 - 1) = "0", OFFSET($A$1, 111 - 1, 59 - 1) = "1" ), 3, 4 ) ) )</f>
        <v>4</v>
      </c>
    </row>
    <row r="112" spans="2:60" x14ac:dyDescent="0.25">
      <c r="C112" s="9" t="s">
        <v>143</v>
      </c>
      <c r="D112" s="10">
        <v>1</v>
      </c>
      <c r="E112" s="10">
        <v>0</v>
      </c>
      <c r="AZ112" s="7">
        <v>0.17730780088104356</v>
      </c>
      <c r="BA112" s="7" t="str">
        <f>"0"</f>
        <v>0</v>
      </c>
      <c r="BB112" t="str">
        <f ca="1">IF((OFFSET($A$1, 112 - 1, 52 - 1)) &gt;= (OFFSET($A$1, 84 - 1, 7 - 1)), "1","0")</f>
        <v>0</v>
      </c>
      <c r="BC112">
        <f ca="1" xml:space="preserve"> IF( AND( OFFSET($A$1, 112 - 1, 53 - 1) = "1", OFFSET($A$1, 112 - 1, 54 - 1) = "1" ), 1, IF( AND( OFFSET($A$1, 112 - 1, 53 - 1) = "1", OFFSET($A$1, 112 - 1, 54 - 1) = "0" ), 2, IF( AND( OFFSET($A$1, 112 - 1, 53 - 1) = "0", OFFSET($A$1, 112 - 1, 54 - 1) = "1" ), 3, 4 ) ) )</f>
        <v>4</v>
      </c>
      <c r="BE112" s="7">
        <v>0.23135707965555613</v>
      </c>
      <c r="BF112" s="7" t="str">
        <f>"1"</f>
        <v>1</v>
      </c>
      <c r="BG112" t="str">
        <f ca="1">IF((OFFSET($A$1, 112 - 1, 57 - 1)) &gt;= (OFFSET($A$1, 108 - 1, 7 - 1)), "1","0")</f>
        <v>0</v>
      </c>
      <c r="BH112">
        <f ca="1" xml:space="preserve"> IF( AND( OFFSET($A$1, 112 - 1, 58 - 1) = "1", OFFSET($A$1, 112 - 1, 59 - 1) = "1" ), 1, IF( AND( OFFSET($A$1, 112 - 1, 58 - 1) = "1", OFFSET($A$1, 112 - 1, 59 - 1) = "0" ), 2, IF( AND( OFFSET($A$1, 112 - 1, 58 - 1) = "0", OFFSET($A$1, 112 - 1, 59 - 1) = "1" ), 3, 4 ) ) )</f>
        <v>2</v>
      </c>
    </row>
    <row r="113" spans="3:60" x14ac:dyDescent="0.25">
      <c r="C113" s="9">
        <v>1</v>
      </c>
      <c r="D113" s="7">
        <f ca="1" xml:space="preserve"> COUNTIF( OFFSET($A$1, 1 - 1, 60 - 1, 201, 1), 1 )</f>
        <v>0</v>
      </c>
      <c r="E113" s="7">
        <f ca="1" xml:space="preserve"> COUNTIF( OFFSET($A$1, 1 - 1, 60 - 1, 201, 1), 2 )</f>
        <v>39</v>
      </c>
      <c r="AZ113" s="7">
        <v>0.18727783554990246</v>
      </c>
      <c r="BA113" s="7" t="str">
        <f>"1"</f>
        <v>1</v>
      </c>
      <c r="BB113" t="str">
        <f ca="1">IF((OFFSET($A$1, 113 - 1, 52 - 1)) &gt;= (OFFSET($A$1, 84 - 1, 7 - 1)), "1","0")</f>
        <v>0</v>
      </c>
      <c r="BC113">
        <f ca="1" xml:space="preserve"> IF( AND( OFFSET($A$1, 113 - 1, 53 - 1) = "1", OFFSET($A$1, 113 - 1, 54 - 1) = "1" ), 1, IF( AND( OFFSET($A$1, 113 - 1, 53 - 1) = "1", OFFSET($A$1, 113 - 1, 54 - 1) = "0" ), 2, IF( AND( OFFSET($A$1, 113 - 1, 53 - 1) = "0", OFFSET($A$1, 113 - 1, 54 - 1) = "1" ), 3, 4 ) ) )</f>
        <v>2</v>
      </c>
      <c r="BE113" s="7">
        <v>0.12421725565443605</v>
      </c>
      <c r="BF113" s="7" t="str">
        <f>"0"</f>
        <v>0</v>
      </c>
      <c r="BG113" t="str">
        <f ca="1">IF((OFFSET($A$1, 113 - 1, 57 - 1)) &gt;= (OFFSET($A$1, 108 - 1, 7 - 1)), "1","0")</f>
        <v>0</v>
      </c>
      <c r="BH113">
        <f ca="1" xml:space="preserve"> IF( AND( OFFSET($A$1, 113 - 1, 58 - 1) = "1", OFFSET($A$1, 113 - 1, 59 - 1) = "1" ), 1, IF( AND( OFFSET($A$1, 113 - 1, 58 - 1) = "1", OFFSET($A$1, 113 - 1, 59 - 1) = "0" ), 2, IF( AND( OFFSET($A$1, 113 - 1, 58 - 1) = "0", OFFSET($A$1, 113 - 1, 59 - 1) = "1" ), 3, 4 ) ) )</f>
        <v>4</v>
      </c>
    </row>
    <row r="114" spans="3:60" x14ac:dyDescent="0.25">
      <c r="C114" s="9">
        <v>0</v>
      </c>
      <c r="D114" s="7">
        <f ca="1" xml:space="preserve"> COUNTIF( OFFSET($A$1, 1 - 1, 60 - 1, 201, 1), 3 )</f>
        <v>0</v>
      </c>
      <c r="E114" s="7">
        <f ca="1" xml:space="preserve"> COUNTIF( OFFSET($A$1, 1 - 1, 60 - 1, 201, 1), 4 )</f>
        <v>161</v>
      </c>
      <c r="AZ114" s="7">
        <v>0.25214216826208485</v>
      </c>
      <c r="BA114" s="7" t="str">
        <f>"0"</f>
        <v>0</v>
      </c>
      <c r="BB114" t="str">
        <f ca="1">IF((OFFSET($A$1, 114 - 1, 52 - 1)) &gt;= (OFFSET($A$1, 84 - 1, 7 - 1)), "1","0")</f>
        <v>0</v>
      </c>
      <c r="BC114">
        <f ca="1" xml:space="preserve"> IF( AND( OFFSET($A$1, 114 - 1, 53 - 1) = "1", OFFSET($A$1, 114 - 1, 54 - 1) = "1" ), 1, IF( AND( OFFSET($A$1, 114 - 1, 53 - 1) = "1", OFFSET($A$1, 114 - 1, 54 - 1) = "0" ), 2, IF( AND( OFFSET($A$1, 114 - 1, 53 - 1) = "0", OFFSET($A$1, 114 - 1, 54 - 1) = "1" ), 3, 4 ) ) )</f>
        <v>4</v>
      </c>
      <c r="BE114" s="7">
        <v>0.22580070834568639</v>
      </c>
      <c r="BF114" s="7" t="str">
        <f>"0"</f>
        <v>0</v>
      </c>
      <c r="BG114" t="str">
        <f ca="1">IF((OFFSET($A$1, 114 - 1, 57 - 1)) &gt;= (OFFSET($A$1, 108 - 1, 7 - 1)), "1","0")</f>
        <v>0</v>
      </c>
      <c r="BH114">
        <f ca="1" xml:space="preserve"> IF( AND( OFFSET($A$1, 114 - 1, 58 - 1) = "1", OFFSET($A$1, 114 - 1, 59 - 1) = "1" ), 1, IF( AND( OFFSET($A$1, 114 - 1, 58 - 1) = "1", OFFSET($A$1, 114 - 1, 59 - 1) = "0" ), 2, IF( AND( OFFSET($A$1, 114 - 1, 58 - 1) = "0", OFFSET($A$1, 114 - 1, 59 - 1) = "1" ), 3, 4 ) ) )</f>
        <v>4</v>
      </c>
    </row>
    <row r="115" spans="3:60" x14ac:dyDescent="0.25">
      <c r="AZ115" s="7">
        <v>0.20866092156497576</v>
      </c>
      <c r="BA115" s="7" t="str">
        <f>"1"</f>
        <v>1</v>
      </c>
      <c r="BB115" t="str">
        <f ca="1">IF((OFFSET($A$1, 115 - 1, 52 - 1)) &gt;= (OFFSET($A$1, 84 - 1, 7 - 1)), "1","0")</f>
        <v>0</v>
      </c>
      <c r="BC115">
        <f ca="1" xml:space="preserve"> IF( AND( OFFSET($A$1, 115 - 1, 53 - 1) = "1", OFFSET($A$1, 115 - 1, 54 - 1) = "1" ), 1, IF( AND( OFFSET($A$1, 115 - 1, 53 - 1) = "1", OFFSET($A$1, 115 - 1, 54 - 1) = "0" ), 2, IF( AND( OFFSET($A$1, 115 - 1, 53 - 1) = "0", OFFSET($A$1, 115 - 1, 54 - 1) = "1" ), 3, 4 ) ) )</f>
        <v>2</v>
      </c>
      <c r="BE115" s="7">
        <v>0.21391206138959956</v>
      </c>
      <c r="BF115" s="7" t="str">
        <f>"0"</f>
        <v>0</v>
      </c>
      <c r="BG115" t="str">
        <f ca="1">IF((OFFSET($A$1, 115 - 1, 57 - 1)) &gt;= (OFFSET($A$1, 108 - 1, 7 - 1)), "1","0")</f>
        <v>0</v>
      </c>
      <c r="BH115">
        <f ca="1" xml:space="preserve"> IF( AND( OFFSET($A$1, 115 - 1, 58 - 1) = "1", OFFSET($A$1, 115 - 1, 59 - 1) = "1" ), 1, IF( AND( OFFSET($A$1, 115 - 1, 58 - 1) = "1", OFFSET($A$1, 115 - 1, 59 - 1) = "0" ), 2, IF( AND( OFFSET($A$1, 115 - 1, 58 - 1) = "0", OFFSET($A$1, 115 - 1, 59 - 1) = "1" ), 3, 4 ) ) )</f>
        <v>4</v>
      </c>
    </row>
    <row r="116" spans="3:60" x14ac:dyDescent="0.25">
      <c r="C116" s="11" t="s">
        <v>144</v>
      </c>
      <c r="D116" s="12"/>
      <c r="E116" s="12"/>
      <c r="F116" s="13"/>
      <c r="AZ116" s="7">
        <v>0.26055180003985812</v>
      </c>
      <c r="BA116" s="7" t="str">
        <f>"0"</f>
        <v>0</v>
      </c>
      <c r="BB116" t="str">
        <f ca="1">IF((OFFSET($A$1, 116 - 1, 52 - 1)) &gt;= (OFFSET($A$1, 84 - 1, 7 - 1)), "1","0")</f>
        <v>0</v>
      </c>
      <c r="BC116">
        <f ca="1" xml:space="preserve"> IF( AND( OFFSET($A$1, 116 - 1, 53 - 1) = "1", OFFSET($A$1, 116 - 1, 54 - 1) = "1" ), 1, IF( AND( OFFSET($A$1, 116 - 1, 53 - 1) = "1", OFFSET($A$1, 116 - 1, 54 - 1) = "0" ), 2, IF( AND( OFFSET($A$1, 116 - 1, 53 - 1) = "0", OFFSET($A$1, 116 - 1, 54 - 1) = "1" ), 3, 4 ) ) )</f>
        <v>4</v>
      </c>
      <c r="BE116" s="7">
        <v>0.14659210196028538</v>
      </c>
      <c r="BF116" s="7" t="str">
        <f>"0"</f>
        <v>0</v>
      </c>
      <c r="BG116" t="str">
        <f ca="1">IF((OFFSET($A$1, 116 - 1, 57 - 1)) &gt;= (OFFSET($A$1, 108 - 1, 7 - 1)), "1","0")</f>
        <v>0</v>
      </c>
      <c r="BH116">
        <f ca="1" xml:space="preserve"> IF( AND( OFFSET($A$1, 116 - 1, 58 - 1) = "1", OFFSET($A$1, 116 - 1, 59 - 1) = "1" ), 1, IF( AND( OFFSET($A$1, 116 - 1, 58 - 1) = "1", OFFSET($A$1, 116 - 1, 59 - 1) = "0" ), 2, IF( AND( OFFSET($A$1, 116 - 1, 58 - 1) = "0", OFFSET($A$1, 116 - 1, 59 - 1) = "1" ), 3, 4 ) ) )</f>
        <v>4</v>
      </c>
    </row>
    <row r="117" spans="3:60" x14ac:dyDescent="0.25">
      <c r="C117" s="10" t="s">
        <v>107</v>
      </c>
      <c r="D117" s="10" t="s">
        <v>145</v>
      </c>
      <c r="E117" s="10" t="s">
        <v>146</v>
      </c>
      <c r="F117" s="10" t="s">
        <v>147</v>
      </c>
      <c r="AZ117" s="7">
        <v>0.17185890555134051</v>
      </c>
      <c r="BA117" s="7" t="str">
        <f>"0"</f>
        <v>0</v>
      </c>
      <c r="BB117" t="str">
        <f ca="1">IF((OFFSET($A$1, 117 - 1, 52 - 1)) &gt;= (OFFSET($A$1, 84 - 1, 7 - 1)), "1","0")</f>
        <v>0</v>
      </c>
      <c r="BC117">
        <f ca="1" xml:space="preserve"> IF( AND( OFFSET($A$1, 117 - 1, 53 - 1) = "1", OFFSET($A$1, 117 - 1, 54 - 1) = "1" ), 1, IF( AND( OFFSET($A$1, 117 - 1, 53 - 1) = "1", OFFSET($A$1, 117 - 1, 54 - 1) = "0" ), 2, IF( AND( OFFSET($A$1, 117 - 1, 53 - 1) = "0", OFFSET($A$1, 117 - 1, 54 - 1) = "1" ), 3, 4 ) ) )</f>
        <v>4</v>
      </c>
      <c r="BE117" s="7">
        <v>0.16480125917755581</v>
      </c>
      <c r="BF117" s="7" t="str">
        <f>"0"</f>
        <v>0</v>
      </c>
      <c r="BG117" t="str">
        <f ca="1">IF((OFFSET($A$1, 117 - 1, 57 - 1)) &gt;= (OFFSET($A$1, 108 - 1, 7 - 1)), "1","0")</f>
        <v>0</v>
      </c>
      <c r="BH117">
        <f ca="1" xml:space="preserve"> IF( AND( OFFSET($A$1, 117 - 1, 58 - 1) = "1", OFFSET($A$1, 117 - 1, 59 - 1) = "1" ), 1, IF( AND( OFFSET($A$1, 117 - 1, 58 - 1) = "1", OFFSET($A$1, 117 - 1, 59 - 1) = "0" ), 2, IF( AND( OFFSET($A$1, 117 - 1, 58 - 1) = "0", OFFSET($A$1, 117 - 1, 59 - 1) = "1" ), 3, 4 ) ) )</f>
        <v>4</v>
      </c>
    </row>
    <row r="118" spans="3:60" x14ac:dyDescent="0.25">
      <c r="C118" s="9">
        <v>1</v>
      </c>
      <c r="D118" s="7">
        <f ca="1">SUM(OFFSET($A$1, 113 - 1, 4 - 1, 1, 2))</f>
        <v>39</v>
      </c>
      <c r="E118" s="7">
        <f ca="1">SUM(OFFSET($A$1, 113 - 1, 4 - 1, 1, 2)) - OFFSET($A$1, 113 - 1, 4 - 1)</f>
        <v>39</v>
      </c>
      <c r="F118" s="7">
        <f ca="1">IF(OFFSET($A$1, 118 - 1, 4 - 1)=0,"Undefined",((OFFSET($A$1, 118 - 1, 5 - 1))*100) / (OFFSET($A$1, 118 - 1, 4 - 1)))</f>
        <v>100</v>
      </c>
      <c r="AZ118" s="7">
        <v>0.16830057556214764</v>
      </c>
      <c r="BA118" s="7" t="str">
        <f>"0"</f>
        <v>0</v>
      </c>
      <c r="BB118" t="str">
        <f ca="1">IF((OFFSET($A$1, 118 - 1, 52 - 1)) &gt;= (OFFSET($A$1, 84 - 1, 7 - 1)), "1","0")</f>
        <v>0</v>
      </c>
      <c r="BC118">
        <f ca="1" xml:space="preserve"> IF( AND( OFFSET($A$1, 118 - 1, 53 - 1) = "1", OFFSET($A$1, 118 - 1, 54 - 1) = "1" ), 1, IF( AND( OFFSET($A$1, 118 - 1, 53 - 1) = "1", OFFSET($A$1, 118 - 1, 54 - 1) = "0" ), 2, IF( AND( OFFSET($A$1, 118 - 1, 53 - 1) = "0", OFFSET($A$1, 118 - 1, 54 - 1) = "1" ), 3, 4 ) ) )</f>
        <v>4</v>
      </c>
      <c r="BE118" s="7">
        <v>0.20146980513632695</v>
      </c>
      <c r="BF118" s="7" t="str">
        <f>"1"</f>
        <v>1</v>
      </c>
      <c r="BG118" t="str">
        <f ca="1">IF((OFFSET($A$1, 118 - 1, 57 - 1)) &gt;= (OFFSET($A$1, 108 - 1, 7 - 1)), "1","0")</f>
        <v>0</v>
      </c>
      <c r="BH118">
        <f ca="1" xml:space="preserve"> IF( AND( OFFSET($A$1, 118 - 1, 58 - 1) = "1", OFFSET($A$1, 118 - 1, 59 - 1) = "1" ), 1, IF( AND( OFFSET($A$1, 118 - 1, 58 - 1) = "1", OFFSET($A$1, 118 - 1, 59 - 1) = "0" ), 2, IF( AND( OFFSET($A$1, 118 - 1, 58 - 1) = "0", OFFSET($A$1, 118 - 1, 59 - 1) = "1" ), 3, 4 ) ) )</f>
        <v>2</v>
      </c>
    </row>
    <row r="119" spans="3:60" x14ac:dyDescent="0.25">
      <c r="C119" s="9">
        <v>0</v>
      </c>
      <c r="D119" s="7">
        <f ca="1">SUM(OFFSET($A$1, 114 - 1, 4 - 1, 1, 2))</f>
        <v>161</v>
      </c>
      <c r="E119" s="7">
        <f ca="1">SUM(OFFSET($A$1, 114 - 1, 4 - 1, 1, 2)) - OFFSET($A$1, 114 - 1, 5 - 1)</f>
        <v>0</v>
      </c>
      <c r="F119" s="7">
        <f ca="1">IF(OFFSET($A$1, 119 - 1, 4 - 1)=0,"Undefined",((OFFSET($A$1, 119 - 1, 5 - 1))*100) / (OFFSET($A$1, 119 - 1, 4 - 1)))</f>
        <v>0</v>
      </c>
      <c r="AZ119" s="7">
        <v>0.21884334028137301</v>
      </c>
      <c r="BA119" s="7" t="str">
        <f>"0"</f>
        <v>0</v>
      </c>
      <c r="BB119" t="str">
        <f ca="1">IF((OFFSET($A$1, 119 - 1, 52 - 1)) &gt;= (OFFSET($A$1, 84 - 1, 7 - 1)), "1","0")</f>
        <v>0</v>
      </c>
      <c r="BC119">
        <f ca="1" xml:space="preserve"> IF( AND( OFFSET($A$1, 119 - 1, 53 - 1) = "1", OFFSET($A$1, 119 - 1, 54 - 1) = "1" ), 1, IF( AND( OFFSET($A$1, 119 - 1, 53 - 1) = "1", OFFSET($A$1, 119 - 1, 54 - 1) = "0" ), 2, IF( AND( OFFSET($A$1, 119 - 1, 53 - 1) = "0", OFFSET($A$1, 119 - 1, 54 - 1) = "1" ), 3, 4 ) ) )</f>
        <v>4</v>
      </c>
      <c r="BE119" s="7">
        <v>0.17822901051272877</v>
      </c>
      <c r="BF119" s="7" t="str">
        <f>"0"</f>
        <v>0</v>
      </c>
      <c r="BG119" t="str">
        <f ca="1">IF((OFFSET($A$1, 119 - 1, 57 - 1)) &gt;= (OFFSET($A$1, 108 - 1, 7 - 1)), "1","0")</f>
        <v>0</v>
      </c>
      <c r="BH119">
        <f ca="1" xml:space="preserve"> IF( AND( OFFSET($A$1, 119 - 1, 58 - 1) = "1", OFFSET($A$1, 119 - 1, 59 - 1) = "1" ), 1, IF( AND( OFFSET($A$1, 119 - 1, 58 - 1) = "1", OFFSET($A$1, 119 - 1, 59 - 1) = "0" ), 2, IF( AND( OFFSET($A$1, 119 - 1, 58 - 1) = "0", OFFSET($A$1, 119 - 1, 59 - 1) = "1" ), 3, 4 ) ) )</f>
        <v>4</v>
      </c>
    </row>
    <row r="120" spans="3:60" x14ac:dyDescent="0.25">
      <c r="C120" s="9" t="s">
        <v>148</v>
      </c>
      <c r="D120" s="7">
        <f ca="1">SUM(OFFSET($A$1, 118 - 1, 4 - 1, 2, 1))</f>
        <v>200</v>
      </c>
      <c r="E120" s="7">
        <f ca="1">SUM(OFFSET($A$1, 118 - 1, 5 - 1, 2, 1))</f>
        <v>39</v>
      </c>
      <c r="F120" s="7">
        <f ca="1">IF(OFFSET($A$1, 120 - 1, 4 - 1)=0,"Undefined",((OFFSET($A$1, 120 - 1, 5 - 1))*100) / (OFFSET($A$1, 120 - 1, 4 - 1)))</f>
        <v>19.5</v>
      </c>
      <c r="AZ120" s="7">
        <v>0.19249866972239305</v>
      </c>
      <c r="BA120" s="7" t="str">
        <f>"0"</f>
        <v>0</v>
      </c>
      <c r="BB120" t="str">
        <f ca="1">IF((OFFSET($A$1, 120 - 1, 52 - 1)) &gt;= (OFFSET($A$1, 84 - 1, 7 - 1)), "1","0")</f>
        <v>0</v>
      </c>
      <c r="BC120">
        <f ca="1" xml:space="preserve"> IF( AND( OFFSET($A$1, 120 - 1, 53 - 1) = "1", OFFSET($A$1, 120 - 1, 54 - 1) = "1" ), 1, IF( AND( OFFSET($A$1, 120 - 1, 53 - 1) = "1", OFFSET($A$1, 120 - 1, 54 - 1) = "0" ), 2, IF( AND( OFFSET($A$1, 120 - 1, 53 - 1) = "0", OFFSET($A$1, 120 - 1, 54 - 1) = "1" ), 3, 4 ) ) )</f>
        <v>4</v>
      </c>
      <c r="BE120" s="7">
        <v>0.17547659525106013</v>
      </c>
      <c r="BF120" s="7" t="str">
        <f>"0"</f>
        <v>0</v>
      </c>
      <c r="BG120" t="str">
        <f ca="1">IF((OFFSET($A$1, 120 - 1, 57 - 1)) &gt;= (OFFSET($A$1, 108 - 1, 7 - 1)), "1","0")</f>
        <v>0</v>
      </c>
      <c r="BH120">
        <f ca="1" xml:space="preserve"> IF( AND( OFFSET($A$1, 120 - 1, 58 - 1) = "1", OFFSET($A$1, 120 - 1, 59 - 1) = "1" ), 1, IF( AND( OFFSET($A$1, 120 - 1, 58 - 1) = "1", OFFSET($A$1, 120 - 1, 59 - 1) = "0" ), 2, IF( AND( OFFSET($A$1, 120 - 1, 58 - 1) = "0", OFFSET($A$1, 120 - 1, 59 - 1) = "1" ), 3, 4 ) ) )</f>
        <v>4</v>
      </c>
    </row>
    <row r="121" spans="3:60" x14ac:dyDescent="0.25">
      <c r="AZ121" s="7">
        <v>0.20866092156497576</v>
      </c>
      <c r="BA121" s="7" t="str">
        <f>"0"</f>
        <v>0</v>
      </c>
      <c r="BB121" t="str">
        <f ca="1">IF((OFFSET($A$1, 121 - 1, 52 - 1)) &gt;= (OFFSET($A$1, 84 - 1, 7 - 1)), "1","0")</f>
        <v>0</v>
      </c>
      <c r="BC121">
        <f ca="1" xml:space="preserve"> IF( AND( OFFSET($A$1, 121 - 1, 53 - 1) = "1", OFFSET($A$1, 121 - 1, 54 - 1) = "1" ), 1, IF( AND( OFFSET($A$1, 121 - 1, 53 - 1) = "1", OFFSET($A$1, 121 - 1, 54 - 1) = "0" ), 2, IF( AND( OFFSET($A$1, 121 - 1, 53 - 1) = "0", OFFSET($A$1, 121 - 1, 54 - 1) = "1" ), 3, 4 ) ) )</f>
        <v>4</v>
      </c>
      <c r="BE121" s="7">
        <v>0.20658721836771066</v>
      </c>
      <c r="BF121" s="7" t="str">
        <f>"1"</f>
        <v>1</v>
      </c>
      <c r="BG121" t="str">
        <f ca="1">IF((OFFSET($A$1, 121 - 1, 57 - 1)) &gt;= (OFFSET($A$1, 108 - 1, 7 - 1)), "1","0")</f>
        <v>0</v>
      </c>
      <c r="BH121">
        <f ca="1" xml:space="preserve"> IF( AND( OFFSET($A$1, 121 - 1, 58 - 1) = "1", OFFSET($A$1, 121 - 1, 59 - 1) = "1" ), 1, IF( AND( OFFSET($A$1, 121 - 1, 58 - 1) = "1", OFFSET($A$1, 121 - 1, 59 - 1) = "0" ), 2, IF( AND( OFFSET($A$1, 121 - 1, 58 - 1) = "0", OFFSET($A$1, 121 - 1, 59 - 1) = "1" ), 3, 4 ) ) )</f>
        <v>2</v>
      </c>
    </row>
    <row r="122" spans="3:60" x14ac:dyDescent="0.25">
      <c r="C122" s="11" t="s">
        <v>149</v>
      </c>
      <c r="D122" s="12"/>
      <c r="E122" s="13"/>
      <c r="AZ122" s="7">
        <v>0.11686970291532475</v>
      </c>
      <c r="BA122" s="7" t="str">
        <f>"0"</f>
        <v>0</v>
      </c>
      <c r="BB122" t="str">
        <f ca="1">IF((OFFSET($A$1, 122 - 1, 52 - 1)) &gt;= (OFFSET($A$1, 84 - 1, 7 - 1)), "1","0")</f>
        <v>0</v>
      </c>
      <c r="BC122">
        <f ca="1" xml:space="preserve"> IF( AND( OFFSET($A$1, 122 - 1, 53 - 1) = "1", OFFSET($A$1, 122 - 1, 54 - 1) = "1" ), 1, IF( AND( OFFSET($A$1, 122 - 1, 53 - 1) = "1", OFFSET($A$1, 122 - 1, 54 - 1) = "0" ), 2, IF( AND( OFFSET($A$1, 122 - 1, 53 - 1) = "0", OFFSET($A$1, 122 - 1, 54 - 1) = "1" ), 3, 4 ) ) )</f>
        <v>4</v>
      </c>
      <c r="BE122" s="7">
        <v>0.13888182263795479</v>
      </c>
      <c r="BF122" s="7" t="str">
        <f>"0"</f>
        <v>0</v>
      </c>
      <c r="BG122" t="str">
        <f ca="1">IF((OFFSET($A$1, 122 - 1, 57 - 1)) &gt;= (OFFSET($A$1, 108 - 1, 7 - 1)), "1","0")</f>
        <v>0</v>
      </c>
      <c r="BH122">
        <f ca="1" xml:space="preserve"> IF( AND( OFFSET($A$1, 122 - 1, 58 - 1) = "1", OFFSET($A$1, 122 - 1, 59 - 1) = "1" ), 1, IF( AND( OFFSET($A$1, 122 - 1, 58 - 1) = "1", OFFSET($A$1, 122 - 1, 59 - 1) = "0" ), 2, IF( AND( OFFSET($A$1, 122 - 1, 58 - 1) = "0", OFFSET($A$1, 122 - 1, 59 - 1) = "1" ), 3, 4 ) ) )</f>
        <v>4</v>
      </c>
    </row>
    <row r="123" spans="3:60" x14ac:dyDescent="0.25">
      <c r="C123" s="14" t="s">
        <v>150</v>
      </c>
      <c r="D123" s="16"/>
      <c r="E123" s="27">
        <v>1</v>
      </c>
      <c r="AZ123" s="7">
        <v>0.14502220303419278</v>
      </c>
      <c r="BA123" s="7" t="str">
        <f>"0"</f>
        <v>0</v>
      </c>
      <c r="BB123" t="str">
        <f ca="1">IF((OFFSET($A$1, 123 - 1, 52 - 1)) &gt;= (OFFSET($A$1, 84 - 1, 7 - 1)), "1","0")</f>
        <v>0</v>
      </c>
      <c r="BC123">
        <f ca="1" xml:space="preserve"> IF( AND( OFFSET($A$1, 123 - 1, 53 - 1) = "1", OFFSET($A$1, 123 - 1, 54 - 1) = "1" ), 1, IF( AND( OFFSET($A$1, 123 - 1, 53 - 1) = "1", OFFSET($A$1, 123 - 1, 54 - 1) = "0" ), 2, IF( AND( OFFSET($A$1, 123 - 1, 53 - 1) = "0", OFFSET($A$1, 123 - 1, 54 - 1) = "1" ), 3, 4 ) ) )</f>
        <v>4</v>
      </c>
      <c r="BE123" s="7">
        <v>0.21925873576292521</v>
      </c>
      <c r="BF123" s="7" t="str">
        <f>"0"</f>
        <v>0</v>
      </c>
      <c r="BG123" t="str">
        <f ca="1">IF((OFFSET($A$1, 123 - 1, 57 - 1)) &gt;= (OFFSET($A$1, 108 - 1, 7 - 1)), "1","0")</f>
        <v>0</v>
      </c>
      <c r="BH123">
        <f ca="1" xml:space="preserve"> IF( AND( OFFSET($A$1, 123 - 1, 58 - 1) = "1", OFFSET($A$1, 123 - 1, 59 - 1) = "1" ), 1, IF( AND( OFFSET($A$1, 123 - 1, 58 - 1) = "1", OFFSET($A$1, 123 - 1, 59 - 1) = "0" ), 2, IF( AND( OFFSET($A$1, 123 - 1, 58 - 1) = "0", OFFSET($A$1, 123 - 1, 59 - 1) = "1" ), 3, 4 ) ) )</f>
        <v>4</v>
      </c>
    </row>
    <row r="124" spans="3:60" x14ac:dyDescent="0.25">
      <c r="C124" s="14" t="s">
        <v>151</v>
      </c>
      <c r="D124" s="16"/>
      <c r="E124" s="27" t="str">
        <f ca="1">IF((OFFSET($A$1, 113 - 1, 4 - 1) + OFFSET($A$1, 114 - 1, 4 - 1)) = 0,"Undefined",OFFSET($A$1, 113 - 1, 4 - 1)/(OFFSET($A$1, 113 - 1, 4 - 1) + OFFSET($A$1, 114 - 1, 4 - 1)))</f>
        <v>Undefined</v>
      </c>
      <c r="AZ124" s="7">
        <v>0.14039616575427025</v>
      </c>
      <c r="BA124" s="7" t="str">
        <f>"0"</f>
        <v>0</v>
      </c>
      <c r="BB124" t="str">
        <f ca="1">IF((OFFSET($A$1, 124 - 1, 52 - 1)) &gt;= (OFFSET($A$1, 84 - 1, 7 - 1)), "1","0")</f>
        <v>0</v>
      </c>
      <c r="BC124">
        <f ca="1" xml:space="preserve"> IF( AND( OFFSET($A$1, 124 - 1, 53 - 1) = "1", OFFSET($A$1, 124 - 1, 54 - 1) = "1" ), 1, IF( AND( OFFSET($A$1, 124 - 1, 53 - 1) = "1", OFFSET($A$1, 124 - 1, 54 - 1) = "0" ), 2, IF( AND( OFFSET($A$1, 124 - 1, 53 - 1) = "0", OFFSET($A$1, 124 - 1, 54 - 1) = "1" ), 3, 4 ) ) )</f>
        <v>4</v>
      </c>
      <c r="BE124" s="7">
        <v>0.15138634045371038</v>
      </c>
      <c r="BF124" s="7" t="str">
        <f>"0"</f>
        <v>0</v>
      </c>
      <c r="BG124" t="str">
        <f ca="1">IF((OFFSET($A$1, 124 - 1, 57 - 1)) &gt;= (OFFSET($A$1, 108 - 1, 7 - 1)), "1","0")</f>
        <v>0</v>
      </c>
      <c r="BH124">
        <f ca="1" xml:space="preserve"> IF( AND( OFFSET($A$1, 124 - 1, 58 - 1) = "1", OFFSET($A$1, 124 - 1, 59 - 1) = "1" ), 1, IF( AND( OFFSET($A$1, 124 - 1, 58 - 1) = "1", OFFSET($A$1, 124 - 1, 59 - 1) = "0" ), 2, IF( AND( OFFSET($A$1, 124 - 1, 58 - 1) = "0", OFFSET($A$1, 124 - 1, 59 - 1) = "1" ), 3, 4 ) ) )</f>
        <v>4</v>
      </c>
    </row>
    <row r="125" spans="3:60" x14ac:dyDescent="0.25">
      <c r="C125" s="14" t="s">
        <v>152</v>
      </c>
      <c r="D125" s="16"/>
      <c r="E125" s="27">
        <f ca="1">IF((OFFSET($A$1, 113 - 1, 4 - 1) + OFFSET($A$1, 113 - 1, 5 - 1)) = 0,"Undefined",OFFSET($A$1, 113 - 1, 4 - 1)/(OFFSET($A$1, 113 - 1, 4 - 1) + OFFSET($A$1, 113 - 1, 5 - 1)))</f>
        <v>0</v>
      </c>
      <c r="AZ125" s="7">
        <v>0.20146980513632695</v>
      </c>
      <c r="BA125" s="7" t="str">
        <f>"0"</f>
        <v>0</v>
      </c>
      <c r="BB125" t="str">
        <f ca="1">IF((OFFSET($A$1, 125 - 1, 52 - 1)) &gt;= (OFFSET($A$1, 84 - 1, 7 - 1)), "1","0")</f>
        <v>0</v>
      </c>
      <c r="BC125">
        <f ca="1" xml:space="preserve"> IF( AND( OFFSET($A$1, 125 - 1, 53 - 1) = "1", OFFSET($A$1, 125 - 1, 54 - 1) = "1" ), 1, IF( AND( OFFSET($A$1, 125 - 1, 53 - 1) = "1", OFFSET($A$1, 125 - 1, 54 - 1) = "0" ), 2, IF( AND( OFFSET($A$1, 125 - 1, 53 - 1) = "0", OFFSET($A$1, 125 - 1, 54 - 1) = "1" ), 3, 4 ) ) )</f>
        <v>4</v>
      </c>
      <c r="BE125" s="7">
        <v>0.1033015407446706</v>
      </c>
      <c r="BF125" s="7" t="str">
        <f>"0"</f>
        <v>0</v>
      </c>
      <c r="BG125" t="str">
        <f ca="1">IF((OFFSET($A$1, 125 - 1, 57 - 1)) &gt;= (OFFSET($A$1, 108 - 1, 7 - 1)), "1","0")</f>
        <v>0</v>
      </c>
      <c r="BH125">
        <f ca="1" xml:space="preserve"> IF( AND( OFFSET($A$1, 125 - 1, 58 - 1) = "1", OFFSET($A$1, 125 - 1, 59 - 1) = "1" ), 1, IF( AND( OFFSET($A$1, 125 - 1, 58 - 1) = "1", OFFSET($A$1, 125 - 1, 59 - 1) = "0" ), 2, IF( AND( OFFSET($A$1, 125 - 1, 58 - 1) = "0", OFFSET($A$1, 125 - 1, 59 - 1) = "1" ), 3, 4 ) ) )</f>
        <v>4</v>
      </c>
    </row>
    <row r="126" spans="3:60" x14ac:dyDescent="0.25">
      <c r="C126" s="14" t="s">
        <v>153</v>
      </c>
      <c r="D126" s="16"/>
      <c r="E126" s="27">
        <f ca="1">IF((OFFSET($A$1, 114 - 1, 4 - 1) + OFFSET($A$1, 114 - 1, 5 - 1)) = 0,"Undefined",OFFSET($A$1, 114 - 1, 5 - 1)/(OFFSET($A$1, 114 - 1, 4 - 1) + OFFSET($A$1, 114 - 1, 5 - 1)))</f>
        <v>1</v>
      </c>
      <c r="AZ126" s="7">
        <v>0.2766439066661347</v>
      </c>
      <c r="BA126" s="7" t="str">
        <f>"0"</f>
        <v>0</v>
      </c>
      <c r="BB126" t="str">
        <f ca="1">IF((OFFSET($A$1, 126 - 1, 52 - 1)) &gt;= (OFFSET($A$1, 84 - 1, 7 - 1)), "1","0")</f>
        <v>0</v>
      </c>
      <c r="BC126">
        <f ca="1" xml:space="preserve"> IF( AND( OFFSET($A$1, 126 - 1, 53 - 1) = "1", OFFSET($A$1, 126 - 1, 54 - 1) = "1" ), 1, IF( AND( OFFSET($A$1, 126 - 1, 53 - 1) = "1", OFFSET($A$1, 126 - 1, 54 - 1) = "0" ), 2, IF( AND( OFFSET($A$1, 126 - 1, 53 - 1) = "0", OFFSET($A$1, 126 - 1, 54 - 1) = "1" ), 3, 4 ) ) )</f>
        <v>4</v>
      </c>
      <c r="BE126" s="7">
        <v>0.19844515054993866</v>
      </c>
      <c r="BF126" s="7" t="str">
        <f>"1"</f>
        <v>1</v>
      </c>
      <c r="BG126" t="str">
        <f ca="1">IF((OFFSET($A$1, 126 - 1, 57 - 1)) &gt;= (OFFSET($A$1, 108 - 1, 7 - 1)), "1","0")</f>
        <v>0</v>
      </c>
      <c r="BH126">
        <f ca="1" xml:space="preserve"> IF( AND( OFFSET($A$1, 126 - 1, 58 - 1) = "1", OFFSET($A$1, 126 - 1, 59 - 1) = "1" ), 1, IF( AND( OFFSET($A$1, 126 - 1, 58 - 1) = "1", OFFSET($A$1, 126 - 1, 59 - 1) = "0" ), 2, IF( AND( OFFSET($A$1, 126 - 1, 58 - 1) = "0", OFFSET($A$1, 126 - 1, 59 - 1) = "1" ), 3, 4 ) ) )</f>
        <v>2</v>
      </c>
    </row>
    <row r="127" spans="3:60" x14ac:dyDescent="0.25">
      <c r="C127" s="14" t="s">
        <v>154</v>
      </c>
      <c r="D127" s="16"/>
      <c r="E127" s="27" t="str">
        <f ca="1">IF(OR(OFFSET($A$1, 124 - 1, 5 - 1)="Undefined",OFFSET($A$1, 125 - 1, 5 - 1)="Undefined"),"Undefined",IF((OFFSET($A$1, 124 - 1, 5 - 1) + OFFSET($A$1, 125 - 1, 5 - 1))=0,"Undefined",2*OFFSET($A$1, 124 - 1, 5 - 1)*OFFSET($A$1, 125 - 1, 5 - 1)/(OFFSET($A$1, 124 - 1, 5 - 1)+OFFSET($A$1, 125 - 1, 5 - 1))))</f>
        <v>Undefined</v>
      </c>
      <c r="AZ127" s="7">
        <v>0.19249866972239305</v>
      </c>
      <c r="BA127" s="7" t="str">
        <f>"0"</f>
        <v>0</v>
      </c>
      <c r="BB127" t="str">
        <f ca="1">IF((OFFSET($A$1, 127 - 1, 52 - 1)) &gt;= (OFFSET($A$1, 84 - 1, 7 - 1)), "1","0")</f>
        <v>0</v>
      </c>
      <c r="BC127">
        <f ca="1" xml:space="preserve"> IF( AND( OFFSET($A$1, 127 - 1, 53 - 1) = "1", OFFSET($A$1, 127 - 1, 54 - 1) = "1" ), 1, IF( AND( OFFSET($A$1, 127 - 1, 53 - 1) = "1", OFFSET($A$1, 127 - 1, 54 - 1) = "0" ), 2, IF( AND( OFFSET($A$1, 127 - 1, 53 - 1) = "0", OFFSET($A$1, 127 - 1, 54 - 1) = "1" ), 3, 4 ) ) )</f>
        <v>4</v>
      </c>
      <c r="BE127" s="7">
        <v>0.23700832189463189</v>
      </c>
      <c r="BF127" s="7" t="str">
        <f>"1"</f>
        <v>1</v>
      </c>
      <c r="BG127" t="str">
        <f ca="1">IF((OFFSET($A$1, 127 - 1, 57 - 1)) &gt;= (OFFSET($A$1, 108 - 1, 7 - 1)), "1","0")</f>
        <v>0</v>
      </c>
      <c r="BH127">
        <f ca="1" xml:space="preserve"> IF( AND( OFFSET($A$1, 127 - 1, 58 - 1) = "1", OFFSET($A$1, 127 - 1, 59 - 1) = "1" ), 1, IF( AND( OFFSET($A$1, 127 - 1, 58 - 1) = "1", OFFSET($A$1, 127 - 1, 59 - 1) = "0" ), 2, IF( AND( OFFSET($A$1, 127 - 1, 58 - 1) = "0", OFFSET($A$1, 127 - 1, 59 - 1) = "1" ), 3, 4 ) ) )</f>
        <v>2</v>
      </c>
    </row>
    <row r="128" spans="3:60" x14ac:dyDescent="0.25">
      <c r="AZ128" s="7">
        <v>0.2497727342920856</v>
      </c>
      <c r="BA128" s="7" t="str">
        <f>"0"</f>
        <v>0</v>
      </c>
      <c r="BB128" t="str">
        <f ca="1">IF((OFFSET($A$1, 128 - 1, 52 - 1)) &gt;= (OFFSET($A$1, 84 - 1, 7 - 1)), "1","0")</f>
        <v>0</v>
      </c>
      <c r="BC128">
        <f ca="1" xml:space="preserve"> IF( AND( OFFSET($A$1, 128 - 1, 53 - 1) = "1", OFFSET($A$1, 128 - 1, 54 - 1) = "1" ), 1, IF( AND( OFFSET($A$1, 128 - 1, 53 - 1) = "1", OFFSET($A$1, 128 - 1, 54 - 1) = "0" ), 2, IF( AND( OFFSET($A$1, 128 - 1, 53 - 1) = "0", OFFSET($A$1, 128 - 1, 54 - 1) = "1" ), 3, 4 ) ) )</f>
        <v>4</v>
      </c>
      <c r="BE128" s="7">
        <v>0.15714160180604103</v>
      </c>
      <c r="BF128" s="7" t="str">
        <f>"1"</f>
        <v>1</v>
      </c>
      <c r="BG128" t="str">
        <f ca="1">IF((OFFSET($A$1, 128 - 1, 57 - 1)) &gt;= (OFFSET($A$1, 108 - 1, 7 - 1)), "1","0")</f>
        <v>0</v>
      </c>
      <c r="BH128">
        <f ca="1" xml:space="preserve"> IF( AND( OFFSET($A$1, 128 - 1, 58 - 1) = "1", OFFSET($A$1, 128 - 1, 59 - 1) = "1" ), 1, IF( AND( OFFSET($A$1, 128 - 1, 58 - 1) = "1", OFFSET($A$1, 128 - 1, 59 - 1) = "0" ), 2, IF( AND( OFFSET($A$1, 128 - 1, 58 - 1) = "0", OFFSET($A$1, 128 - 1, 59 - 1) = "1" ), 3, 4 ) ) )</f>
        <v>2</v>
      </c>
    </row>
    <row r="129" spans="52:60" x14ac:dyDescent="0.25">
      <c r="AZ129" s="7">
        <v>0.12628879786244532</v>
      </c>
      <c r="BA129" s="7" t="str">
        <f>"0"</f>
        <v>0</v>
      </c>
      <c r="BB129" t="str">
        <f ca="1">IF((OFFSET($A$1, 129 - 1, 52 - 1)) &gt;= (OFFSET($A$1, 84 - 1, 7 - 1)), "1","0")</f>
        <v>0</v>
      </c>
      <c r="BC129">
        <f ca="1" xml:space="preserve"> IF( AND( OFFSET($A$1, 129 - 1, 53 - 1) = "1", OFFSET($A$1, 129 - 1, 54 - 1) = "1" ), 1, IF( AND( OFFSET($A$1, 129 - 1, 53 - 1) = "1", OFFSET($A$1, 129 - 1, 54 - 1) = "0" ), 2, IF( AND( OFFSET($A$1, 129 - 1, 53 - 1) = "0", OFFSET($A$1, 129 - 1, 54 - 1) = "1" ), 3, 4 ) ) )</f>
        <v>4</v>
      </c>
      <c r="BE129" s="7">
        <v>0.18008266591146496</v>
      </c>
      <c r="BF129" s="7" t="str">
        <f>"0"</f>
        <v>0</v>
      </c>
      <c r="BG129" t="str">
        <f ca="1">IF((OFFSET($A$1, 129 - 1, 57 - 1)) &gt;= (OFFSET($A$1, 108 - 1, 7 - 1)), "1","0")</f>
        <v>0</v>
      </c>
      <c r="BH129">
        <f ca="1" xml:space="preserve"> IF( AND( OFFSET($A$1, 129 - 1, 58 - 1) = "1", OFFSET($A$1, 129 - 1, 59 - 1) = "1" ), 1, IF( AND( OFFSET($A$1, 129 - 1, 58 - 1) = "1", OFFSET($A$1, 129 - 1, 59 - 1) = "0" ), 2, IF( AND( OFFSET($A$1, 129 - 1, 58 - 1) = "0", OFFSET($A$1, 129 - 1, 59 - 1) = "1" ), 3, 4 ) ) )</f>
        <v>4</v>
      </c>
    </row>
    <row r="130" spans="52:60" x14ac:dyDescent="0.25">
      <c r="AZ130" s="7">
        <v>0.17151358362344252</v>
      </c>
      <c r="BA130" s="7" t="str">
        <f>"0"</f>
        <v>0</v>
      </c>
      <c r="BB130" t="str">
        <f ca="1">IF((OFFSET($A$1, 130 - 1, 52 - 1)) &gt;= (OFFSET($A$1, 84 - 1, 7 - 1)), "1","0")</f>
        <v>0</v>
      </c>
      <c r="BC130">
        <f ca="1" xml:space="preserve"> IF( AND( OFFSET($A$1, 130 - 1, 53 - 1) = "1", OFFSET($A$1, 130 - 1, 54 - 1) = "1" ), 1, IF( AND( OFFSET($A$1, 130 - 1, 53 - 1) = "1", OFFSET($A$1, 130 - 1, 54 - 1) = "0" ), 2, IF( AND( OFFSET($A$1, 130 - 1, 53 - 1) = "0", OFFSET($A$1, 130 - 1, 54 - 1) = "1" ), 3, 4 ) ) )</f>
        <v>4</v>
      </c>
      <c r="BE130" s="7">
        <v>0.19805918412133136</v>
      </c>
      <c r="BF130" s="7" t="str">
        <f>"0"</f>
        <v>0</v>
      </c>
      <c r="BG130" t="str">
        <f ca="1">IF((OFFSET($A$1, 130 - 1, 57 - 1)) &gt;= (OFFSET($A$1, 108 - 1, 7 - 1)), "1","0")</f>
        <v>0</v>
      </c>
      <c r="BH130">
        <f ca="1" xml:space="preserve"> IF( AND( OFFSET($A$1, 130 - 1, 58 - 1) = "1", OFFSET($A$1, 130 - 1, 59 - 1) = "1" ), 1, IF( AND( OFFSET($A$1, 130 - 1, 58 - 1) = "1", OFFSET($A$1, 130 - 1, 59 - 1) = "0" ), 2, IF( AND( OFFSET($A$1, 130 - 1, 58 - 1) = "0", OFFSET($A$1, 130 - 1, 59 - 1) = "1" ), 3, 4 ) ) )</f>
        <v>4</v>
      </c>
    </row>
    <row r="131" spans="52:60" x14ac:dyDescent="0.25">
      <c r="AZ131" s="7">
        <v>0.15881832555203282</v>
      </c>
      <c r="BA131" s="7" t="str">
        <f>"0"</f>
        <v>0</v>
      </c>
      <c r="BB131" t="str">
        <f ca="1">IF((OFFSET($A$1, 131 - 1, 52 - 1)) &gt;= (OFFSET($A$1, 84 - 1, 7 - 1)), "1","0")</f>
        <v>0</v>
      </c>
      <c r="BC131">
        <f ca="1" xml:space="preserve"> IF( AND( OFFSET($A$1, 131 - 1, 53 - 1) = "1", OFFSET($A$1, 131 - 1, 54 - 1) = "1" ), 1, IF( AND( OFFSET($A$1, 131 - 1, 53 - 1) = "1", OFFSET($A$1, 131 - 1, 54 - 1) = "0" ), 2, IF( AND( OFFSET($A$1, 131 - 1, 53 - 1) = "0", OFFSET($A$1, 131 - 1, 54 - 1) = "1" ), 3, 4 ) ) )</f>
        <v>4</v>
      </c>
      <c r="BE131" s="7">
        <v>0.1505784496574139</v>
      </c>
      <c r="BF131" s="7" t="str">
        <f>"0"</f>
        <v>0</v>
      </c>
      <c r="BG131" t="str">
        <f ca="1">IF((OFFSET($A$1, 131 - 1, 57 - 1)) &gt;= (OFFSET($A$1, 108 - 1, 7 - 1)), "1","0")</f>
        <v>0</v>
      </c>
      <c r="BH131">
        <f ca="1" xml:space="preserve"> IF( AND( OFFSET($A$1, 131 - 1, 58 - 1) = "1", OFFSET($A$1, 131 - 1, 59 - 1) = "1" ), 1, IF( AND( OFFSET($A$1, 131 - 1, 58 - 1) = "1", OFFSET($A$1, 131 - 1, 59 - 1) = "0" ), 2, IF( AND( OFFSET($A$1, 131 - 1, 58 - 1) = "0", OFFSET($A$1, 131 - 1, 59 - 1) = "1" ), 3, 4 ) ) )</f>
        <v>4</v>
      </c>
    </row>
    <row r="132" spans="52:60" x14ac:dyDescent="0.25">
      <c r="AZ132" s="7">
        <v>0.21603927017399838</v>
      </c>
      <c r="BA132" s="7" t="str">
        <f>"0"</f>
        <v>0</v>
      </c>
      <c r="BB132" t="str">
        <f ca="1">IF((OFFSET($A$1, 132 - 1, 52 - 1)) &gt;= (OFFSET($A$1, 84 - 1, 7 - 1)), "1","0")</f>
        <v>0</v>
      </c>
      <c r="BC132">
        <f ca="1" xml:space="preserve"> IF( AND( OFFSET($A$1, 132 - 1, 53 - 1) = "1", OFFSET($A$1, 132 - 1, 54 - 1) = "1" ), 1, IF( AND( OFFSET($A$1, 132 - 1, 53 - 1) = "1", OFFSET($A$1, 132 - 1, 54 - 1) = "0" ), 2, IF( AND( OFFSET($A$1, 132 - 1, 53 - 1) = "0", OFFSET($A$1, 132 - 1, 54 - 1) = "1" ), 3, 4 ) ) )</f>
        <v>4</v>
      </c>
      <c r="BE132" s="7">
        <v>0.12353324940393745</v>
      </c>
      <c r="BF132" s="7" t="str">
        <f>"0"</f>
        <v>0</v>
      </c>
      <c r="BG132" t="str">
        <f ca="1">IF((OFFSET($A$1, 132 - 1, 57 - 1)) &gt;= (OFFSET($A$1, 108 - 1, 7 - 1)), "1","0")</f>
        <v>0</v>
      </c>
      <c r="BH132">
        <f ca="1" xml:space="preserve"> IF( AND( OFFSET($A$1, 132 - 1, 58 - 1) = "1", OFFSET($A$1, 132 - 1, 59 - 1) = "1" ), 1, IF( AND( OFFSET($A$1, 132 - 1, 58 - 1) = "1", OFFSET($A$1, 132 - 1, 59 - 1) = "0" ), 2, IF( AND( OFFSET($A$1, 132 - 1, 58 - 1) = "0", OFFSET($A$1, 132 - 1, 59 - 1) = "1" ), 3, 4 ) ) )</f>
        <v>4</v>
      </c>
    </row>
    <row r="133" spans="52:60" x14ac:dyDescent="0.25">
      <c r="AZ133" s="7">
        <v>0.24044443221879749</v>
      </c>
      <c r="BA133" s="7" t="str">
        <f>"0"</f>
        <v>0</v>
      </c>
      <c r="BB133" t="str">
        <f ca="1">IF((OFFSET($A$1, 133 - 1, 52 - 1)) &gt;= (OFFSET($A$1, 84 - 1, 7 - 1)), "1","0")</f>
        <v>0</v>
      </c>
      <c r="BC133">
        <f ca="1" xml:space="preserve"> IF( AND( OFFSET($A$1, 133 - 1, 53 - 1) = "1", OFFSET($A$1, 133 - 1, 54 - 1) = "1" ), 1, IF( AND( OFFSET($A$1, 133 - 1, 53 - 1) = "1", OFFSET($A$1, 133 - 1, 54 - 1) = "0" ), 2, IF( AND( OFFSET($A$1, 133 - 1, 53 - 1) = "0", OFFSET($A$1, 133 - 1, 54 - 1) = "1" ), 3, 4 ) ) )</f>
        <v>4</v>
      </c>
      <c r="BE133" s="7">
        <v>0.125595020466097</v>
      </c>
      <c r="BF133" s="7" t="str">
        <f>"0"</f>
        <v>0</v>
      </c>
      <c r="BG133" t="str">
        <f ca="1">IF((OFFSET($A$1, 133 - 1, 57 - 1)) &gt;= (OFFSET($A$1, 108 - 1, 7 - 1)), "1","0")</f>
        <v>0</v>
      </c>
      <c r="BH133">
        <f ca="1" xml:space="preserve"> IF( AND( OFFSET($A$1, 133 - 1, 58 - 1) = "1", OFFSET($A$1, 133 - 1, 59 - 1) = "1" ), 1, IF( AND( OFFSET($A$1, 133 - 1, 58 - 1) = "1", OFFSET($A$1, 133 - 1, 59 - 1) = "0" ), 2, IF( AND( OFFSET($A$1, 133 - 1, 58 - 1) = "0", OFFSET($A$1, 133 - 1, 59 - 1) = "1" ), 3, 4 ) ) )</f>
        <v>4</v>
      </c>
    </row>
    <row r="134" spans="52:60" x14ac:dyDescent="0.25">
      <c r="AZ134" s="7">
        <v>0.13738120305926424</v>
      </c>
      <c r="BA134" s="7" t="str">
        <f>"0"</f>
        <v>0</v>
      </c>
      <c r="BB134" t="str">
        <f ca="1">IF((OFFSET($A$1, 134 - 1, 52 - 1)) &gt;= (OFFSET($A$1, 84 - 1, 7 - 1)), "1","0")</f>
        <v>0</v>
      </c>
      <c r="BC134">
        <f ca="1" xml:space="preserve"> IF( AND( OFFSET($A$1, 134 - 1, 53 - 1) = "1", OFFSET($A$1, 134 - 1, 54 - 1) = "1" ), 1, IF( AND( OFFSET($A$1, 134 - 1, 53 - 1) = "1", OFFSET($A$1, 134 - 1, 54 - 1) = "0" ), 2, IF( AND( OFFSET($A$1, 134 - 1, 53 - 1) = "0", OFFSET($A$1, 134 - 1, 54 - 1) = "1" ), 3, 4 ) ) )</f>
        <v>4</v>
      </c>
      <c r="BE134" s="7">
        <v>0.23023820395681241</v>
      </c>
      <c r="BF134" s="7" t="str">
        <f>"1"</f>
        <v>1</v>
      </c>
      <c r="BG134" t="str">
        <f ca="1">IF((OFFSET($A$1, 134 - 1, 57 - 1)) &gt;= (OFFSET($A$1, 108 - 1, 7 - 1)), "1","0")</f>
        <v>0</v>
      </c>
      <c r="BH134">
        <f ca="1" xml:space="preserve"> IF( AND( OFFSET($A$1, 134 - 1, 58 - 1) = "1", OFFSET($A$1, 134 - 1, 59 - 1) = "1" ), 1, IF( AND( OFFSET($A$1, 134 - 1, 58 - 1) = "1", OFFSET($A$1, 134 - 1, 59 - 1) = "0" ), 2, IF( AND( OFFSET($A$1, 134 - 1, 58 - 1) = "0", OFFSET($A$1, 134 - 1, 59 - 1) = "1" ), 3, 4 ) ) )</f>
        <v>2</v>
      </c>
    </row>
    <row r="135" spans="52:60" x14ac:dyDescent="0.25">
      <c r="AZ135" s="7">
        <v>0.14346629027751395</v>
      </c>
      <c r="BA135" s="7" t="str">
        <f>"0"</f>
        <v>0</v>
      </c>
      <c r="BB135" t="str">
        <f ca="1">IF((OFFSET($A$1, 135 - 1, 52 - 1)) &gt;= (OFFSET($A$1, 84 - 1, 7 - 1)), "1","0")</f>
        <v>0</v>
      </c>
      <c r="BC135">
        <f ca="1" xml:space="preserve"> IF( AND( OFFSET($A$1, 135 - 1, 53 - 1) = "1", OFFSET($A$1, 135 - 1, 54 - 1) = "1" ), 1, IF( AND( OFFSET($A$1, 135 - 1, 53 - 1) = "1", OFFSET($A$1, 135 - 1, 54 - 1) = "0" ), 2, IF( AND( OFFSET($A$1, 135 - 1, 53 - 1) = "0", OFFSET($A$1, 135 - 1, 54 - 1) = "1" ), 3, 4 ) ) )</f>
        <v>4</v>
      </c>
      <c r="BE135" s="7">
        <v>0.17456658991828952</v>
      </c>
      <c r="BF135" s="7" t="str">
        <f>"0"</f>
        <v>0</v>
      </c>
      <c r="BG135" t="str">
        <f ca="1">IF((OFFSET($A$1, 135 - 1, 57 - 1)) &gt;= (OFFSET($A$1, 108 - 1, 7 - 1)), "1","0")</f>
        <v>0</v>
      </c>
      <c r="BH135">
        <f ca="1" xml:space="preserve"> IF( AND( OFFSET($A$1, 135 - 1, 58 - 1) = "1", OFFSET($A$1, 135 - 1, 59 - 1) = "1" ), 1, IF( AND( OFFSET($A$1, 135 - 1, 58 - 1) = "1", OFFSET($A$1, 135 - 1, 59 - 1) = "0" ), 2, IF( AND( OFFSET($A$1, 135 - 1, 58 - 1) = "0", OFFSET($A$1, 135 - 1, 59 - 1) = "1" ), 3, 4 ) ) )</f>
        <v>4</v>
      </c>
    </row>
    <row r="136" spans="52:60" x14ac:dyDescent="0.25">
      <c r="AZ136" s="7">
        <v>0.20970350542611282</v>
      </c>
      <c r="BA136" s="7" t="str">
        <f>"1"</f>
        <v>1</v>
      </c>
      <c r="BB136" t="str">
        <f ca="1">IF((OFFSET($A$1, 136 - 1, 52 - 1)) &gt;= (OFFSET($A$1, 84 - 1, 7 - 1)), "1","0")</f>
        <v>0</v>
      </c>
      <c r="BC136">
        <f ca="1" xml:space="preserve"> IF( AND( OFFSET($A$1, 136 - 1, 53 - 1) = "1", OFFSET($A$1, 136 - 1, 54 - 1) = "1" ), 1, IF( AND( OFFSET($A$1, 136 - 1, 53 - 1) = "1", OFFSET($A$1, 136 - 1, 54 - 1) = "0" ), 2, IF( AND( OFFSET($A$1, 136 - 1, 53 - 1) = "0", OFFSET($A$1, 136 - 1, 54 - 1) = "1" ), 3, 4 ) ) )</f>
        <v>2</v>
      </c>
      <c r="BE136" s="7">
        <v>0.27038249801385822</v>
      </c>
      <c r="BF136" s="7" t="str">
        <f>"1"</f>
        <v>1</v>
      </c>
      <c r="BG136" t="str">
        <f ca="1">IF((OFFSET($A$1, 136 - 1, 57 - 1)) &gt;= (OFFSET($A$1, 108 - 1, 7 - 1)), "1","0")</f>
        <v>0</v>
      </c>
      <c r="BH136">
        <f ca="1" xml:space="preserve"> IF( AND( OFFSET($A$1, 136 - 1, 58 - 1) = "1", OFFSET($A$1, 136 - 1, 59 - 1) = "1" ), 1, IF( AND( OFFSET($A$1, 136 - 1, 58 - 1) = "1", OFFSET($A$1, 136 - 1, 59 - 1) = "0" ), 2, IF( AND( OFFSET($A$1, 136 - 1, 58 - 1) = "0", OFFSET($A$1, 136 - 1, 59 - 1) = "1" ), 3, 4 ) ) )</f>
        <v>2</v>
      </c>
    </row>
    <row r="137" spans="52:60" x14ac:dyDescent="0.25">
      <c r="AZ137" s="7">
        <v>0.18008266591146496</v>
      </c>
      <c r="BA137" s="7" t="str">
        <f>"0"</f>
        <v>0</v>
      </c>
      <c r="BB137" t="str">
        <f ca="1">IF((OFFSET($A$1, 137 - 1, 52 - 1)) &gt;= (OFFSET($A$1, 84 - 1, 7 - 1)), "1","0")</f>
        <v>0</v>
      </c>
      <c r="BC137">
        <f ca="1" xml:space="preserve"> IF( AND( OFFSET($A$1, 137 - 1, 53 - 1) = "1", OFFSET($A$1, 137 - 1, 54 - 1) = "1" ), 1, IF( AND( OFFSET($A$1, 137 - 1, 53 - 1) = "1", OFFSET($A$1, 137 - 1, 54 - 1) = "0" ), 2, IF( AND( OFFSET($A$1, 137 - 1, 53 - 1) = "0", OFFSET($A$1, 137 - 1, 54 - 1) = "1" ), 3, 4 ) ) )</f>
        <v>4</v>
      </c>
      <c r="BE137" s="7">
        <v>0.24741819998309791</v>
      </c>
      <c r="BF137" s="7" t="str">
        <f>"0"</f>
        <v>0</v>
      </c>
      <c r="BG137" t="str">
        <f ca="1">IF((OFFSET($A$1, 137 - 1, 57 - 1)) &gt;= (OFFSET($A$1, 108 - 1, 7 - 1)), "1","0")</f>
        <v>0</v>
      </c>
      <c r="BH137">
        <f ca="1" xml:space="preserve"> IF( AND( OFFSET($A$1, 137 - 1, 58 - 1) = "1", OFFSET($A$1, 137 - 1, 59 - 1) = "1" ), 1, IF( AND( OFFSET($A$1, 137 - 1, 58 - 1) = "1", OFFSET($A$1, 137 - 1, 59 - 1) = "0" ), 2, IF( AND( OFFSET($A$1, 137 - 1, 58 - 1) = "0", OFFSET($A$1, 137 - 1, 59 - 1) = "1" ), 3, 4 ) ) )</f>
        <v>4</v>
      </c>
    </row>
    <row r="138" spans="52:60" x14ac:dyDescent="0.25">
      <c r="AZ138" s="7">
        <v>0.15881832555203282</v>
      </c>
      <c r="BA138" s="7" t="str">
        <f>"0"</f>
        <v>0</v>
      </c>
      <c r="BB138" t="str">
        <f ca="1">IF((OFFSET($A$1, 138 - 1, 52 - 1)) &gt;= (OFFSET($A$1, 84 - 1, 7 - 1)), "1","0")</f>
        <v>0</v>
      </c>
      <c r="BC138">
        <f ca="1" xml:space="preserve"> IF( AND( OFFSET($A$1, 138 - 1, 53 - 1) = "1", OFFSET($A$1, 138 - 1, 54 - 1) = "1" ), 1, IF( AND( OFFSET($A$1, 138 - 1, 53 - 1) = "1", OFFSET($A$1, 138 - 1, 54 - 1) = "0" ), 2, IF( AND( OFFSET($A$1, 138 - 1, 53 - 1) = "0", OFFSET($A$1, 138 - 1, 54 - 1) = "1" ), 3, 4 ) ) )</f>
        <v>4</v>
      </c>
      <c r="BE138" s="7">
        <v>0.20146980513632695</v>
      </c>
      <c r="BF138" s="7" t="str">
        <f>"0"</f>
        <v>0</v>
      </c>
      <c r="BG138" t="str">
        <f ca="1">IF((OFFSET($A$1, 138 - 1, 57 - 1)) &gt;= (OFFSET($A$1, 108 - 1, 7 - 1)), "1","0")</f>
        <v>0</v>
      </c>
      <c r="BH138">
        <f ca="1" xml:space="preserve"> IF( AND( OFFSET($A$1, 138 - 1, 58 - 1) = "1", OFFSET($A$1, 138 - 1, 59 - 1) = "1" ), 1, IF( AND( OFFSET($A$1, 138 - 1, 58 - 1) = "1", OFFSET($A$1, 138 - 1, 59 - 1) = "0" ), 2, IF( AND( OFFSET($A$1, 138 - 1, 58 - 1) = "0", OFFSET($A$1, 138 - 1, 59 - 1) = "1" ), 3, 4 ) ) )</f>
        <v>4</v>
      </c>
    </row>
    <row r="139" spans="52:60" x14ac:dyDescent="0.25">
      <c r="AZ139" s="7">
        <v>0.21603927017399838</v>
      </c>
      <c r="BA139" s="7" t="str">
        <f>"0"</f>
        <v>0</v>
      </c>
      <c r="BB139" t="str">
        <f ca="1">IF((OFFSET($A$1, 139 - 1, 52 - 1)) &gt;= (OFFSET($A$1, 84 - 1, 7 - 1)), "1","0")</f>
        <v>0</v>
      </c>
      <c r="BC139">
        <f ca="1" xml:space="preserve"> IF( AND( OFFSET($A$1, 139 - 1, 53 - 1) = "1", OFFSET($A$1, 139 - 1, 54 - 1) = "1" ), 1, IF( AND( OFFSET($A$1, 139 - 1, 53 - 1) = "1", OFFSET($A$1, 139 - 1, 54 - 1) = "0" ), 2, IF( AND( OFFSET($A$1, 139 - 1, 53 - 1) = "0", OFFSET($A$1, 139 - 1, 54 - 1) = "1" ), 3, 4 ) ) )</f>
        <v>4</v>
      </c>
      <c r="BE139" s="7">
        <v>0.15714160180604103</v>
      </c>
      <c r="BF139" s="7" t="str">
        <f>"0"</f>
        <v>0</v>
      </c>
      <c r="BG139" t="str">
        <f ca="1">IF((OFFSET($A$1, 139 - 1, 57 - 1)) &gt;= (OFFSET($A$1, 108 - 1, 7 - 1)), "1","0")</f>
        <v>0</v>
      </c>
      <c r="BH139">
        <f ca="1" xml:space="preserve"> IF( AND( OFFSET($A$1, 139 - 1, 58 - 1) = "1", OFFSET($A$1, 139 - 1, 59 - 1) = "1" ), 1, IF( AND( OFFSET($A$1, 139 - 1, 58 - 1) = "1", OFFSET($A$1, 139 - 1, 59 - 1) = "0" ), 2, IF( AND( OFFSET($A$1, 139 - 1, 58 - 1) = "0", OFFSET($A$1, 139 - 1, 59 - 1) = "1" ), 3, 4 ) ) )</f>
        <v>4</v>
      </c>
    </row>
    <row r="140" spans="52:60" x14ac:dyDescent="0.25">
      <c r="AZ140" s="7">
        <v>0.19944955589309404</v>
      </c>
      <c r="BA140" s="7" t="str">
        <f>"0"</f>
        <v>0</v>
      </c>
      <c r="BB140" t="str">
        <f ca="1">IF((OFFSET($A$1, 140 - 1, 52 - 1)) &gt;= (OFFSET($A$1, 84 - 1, 7 - 1)), "1","0")</f>
        <v>0</v>
      </c>
      <c r="BC140">
        <f ca="1" xml:space="preserve"> IF( AND( OFFSET($A$1, 140 - 1, 53 - 1) = "1", OFFSET($A$1, 140 - 1, 54 - 1) = "1" ), 1, IF( AND( OFFSET($A$1, 140 - 1, 53 - 1) = "1", OFFSET($A$1, 140 - 1, 54 - 1) = "0" ), 2, IF( AND( OFFSET($A$1, 140 - 1, 53 - 1) = "0", OFFSET($A$1, 140 - 1, 54 - 1) = "1" ), 3, 4 ) ) )</f>
        <v>4</v>
      </c>
      <c r="BE140" s="7">
        <v>0.22360479890457233</v>
      </c>
      <c r="BF140" s="7" t="str">
        <f>"1"</f>
        <v>1</v>
      </c>
      <c r="BG140" t="str">
        <f ca="1">IF((OFFSET($A$1, 140 - 1, 57 - 1)) &gt;= (OFFSET($A$1, 108 - 1, 7 - 1)), "1","0")</f>
        <v>0</v>
      </c>
      <c r="BH140">
        <f ca="1" xml:space="preserve"> IF( AND( OFFSET($A$1, 140 - 1, 58 - 1) = "1", OFFSET($A$1, 140 - 1, 59 - 1) = "1" ), 1, IF( AND( OFFSET($A$1, 140 - 1, 58 - 1) = "1", OFFSET($A$1, 140 - 1, 59 - 1) = "0" ), 2, IF( AND( OFFSET($A$1, 140 - 1, 58 - 1) = "0", OFFSET($A$1, 140 - 1, 59 - 1) = "1" ), 3, 4 ) ) )</f>
        <v>2</v>
      </c>
    </row>
    <row r="141" spans="52:60" x14ac:dyDescent="0.25">
      <c r="AZ141" s="7">
        <v>0.26914097468300807</v>
      </c>
      <c r="BA141" s="7" t="str">
        <f>"0"</f>
        <v>0</v>
      </c>
      <c r="BB141" t="str">
        <f ca="1">IF((OFFSET($A$1, 141 - 1, 52 - 1)) &gt;= (OFFSET($A$1, 84 - 1, 7 - 1)), "1","0")</f>
        <v>0</v>
      </c>
      <c r="BC141">
        <f ca="1" xml:space="preserve"> IF( AND( OFFSET($A$1, 141 - 1, 53 - 1) = "1", OFFSET($A$1, 141 - 1, 54 - 1) = "1" ), 1, IF( AND( OFFSET($A$1, 141 - 1, 53 - 1) = "1", OFFSET($A$1, 141 - 1, 54 - 1) = "0" ), 2, IF( AND( OFFSET($A$1, 141 - 1, 53 - 1) = "0", OFFSET($A$1, 141 - 1, 54 - 1) = "1" ), 3, 4 ) ) )</f>
        <v>4</v>
      </c>
      <c r="BE141" s="7">
        <v>0.21074991125651371</v>
      </c>
      <c r="BF141" s="7" t="str">
        <f>"0"</f>
        <v>0</v>
      </c>
      <c r="BG141" t="str">
        <f ca="1">IF((OFFSET($A$1, 141 - 1, 57 - 1)) &gt;= (OFFSET($A$1, 108 - 1, 7 - 1)), "1","0")</f>
        <v>0</v>
      </c>
      <c r="BH141">
        <f ca="1" xml:space="preserve"> IF( AND( OFFSET($A$1, 141 - 1, 58 - 1) = "1", OFFSET($A$1, 141 - 1, 59 - 1) = "1" ), 1, IF( AND( OFFSET($A$1, 141 - 1, 58 - 1) = "1", OFFSET($A$1, 141 - 1, 59 - 1) = "0" ), 2, IF( AND( OFFSET($A$1, 141 - 1, 58 - 1) = "0", OFFSET($A$1, 141 - 1, 59 - 1) = "1" ), 3, 4 ) ) )</f>
        <v>4</v>
      </c>
    </row>
    <row r="142" spans="52:60" x14ac:dyDescent="0.25">
      <c r="AZ142" s="7">
        <v>0.21074991125651377</v>
      </c>
      <c r="BA142" s="7" t="str">
        <f>"1"</f>
        <v>1</v>
      </c>
      <c r="BB142" t="str">
        <f ca="1">IF((OFFSET($A$1, 142 - 1, 52 - 1)) &gt;= (OFFSET($A$1, 84 - 1, 7 - 1)), "1","0")</f>
        <v>0</v>
      </c>
      <c r="BC142">
        <f ca="1" xml:space="preserve"> IF( AND( OFFSET($A$1, 142 - 1, 53 - 1) = "1", OFFSET($A$1, 142 - 1, 54 - 1) = "1" ), 1, IF( AND( OFFSET($A$1, 142 - 1, 53 - 1) = "1", OFFSET($A$1, 142 - 1, 54 - 1) = "0" ), 2, IF( AND( OFFSET($A$1, 142 - 1, 53 - 1) = "0", OFFSET($A$1, 142 - 1, 54 - 1) = "1" ), 3, 4 ) ) )</f>
        <v>2</v>
      </c>
      <c r="BE142" s="7">
        <v>0.17366030983475642</v>
      </c>
      <c r="BF142" s="7" t="str">
        <f>"0"</f>
        <v>0</v>
      </c>
      <c r="BG142" t="str">
        <f ca="1">IF((OFFSET($A$1, 142 - 1, 57 - 1)) &gt;= (OFFSET($A$1, 108 - 1, 7 - 1)), "1","0")</f>
        <v>0</v>
      </c>
      <c r="BH142">
        <f ca="1" xml:space="preserve"> IF( AND( OFFSET($A$1, 142 - 1, 58 - 1) = "1", OFFSET($A$1, 142 - 1, 59 - 1) = "1" ), 1, IF( AND( OFFSET($A$1, 142 - 1, 58 - 1) = "1", OFFSET($A$1, 142 - 1, 59 - 1) = "0" ), 2, IF( AND( OFFSET($A$1, 142 - 1, 58 - 1) = "0", OFFSET($A$1, 142 - 1, 59 - 1) = "1" ), 3, 4 ) ) )</f>
        <v>4</v>
      </c>
    </row>
    <row r="143" spans="52:60" x14ac:dyDescent="0.25">
      <c r="AZ143" s="7">
        <v>0.14738231597791762</v>
      </c>
      <c r="BA143" s="7" t="str">
        <f>"0"</f>
        <v>0</v>
      </c>
      <c r="BB143" t="str">
        <f ca="1">IF((OFFSET($A$1, 143 - 1, 52 - 1)) &gt;= (OFFSET($A$1, 84 - 1, 7 - 1)), "1","0")</f>
        <v>0</v>
      </c>
      <c r="BC143">
        <f ca="1" xml:space="preserve"> IF( AND( OFFSET($A$1, 143 - 1, 53 - 1) = "1", OFFSET($A$1, 143 - 1, 54 - 1) = "1" ), 1, IF( AND( OFFSET($A$1, 143 - 1, 53 - 1) = "1", OFFSET($A$1, 143 - 1, 54 - 1) = "0" ), 2, IF( AND( OFFSET($A$1, 143 - 1, 53 - 1) = "0", OFFSET($A$1, 143 - 1, 54 - 1) = "1" ), 3, 4 ) ) )</f>
        <v>4</v>
      </c>
      <c r="BE143" s="7">
        <v>0.23360621352235511</v>
      </c>
      <c r="BF143" s="7" t="str">
        <f>"0"</f>
        <v>0</v>
      </c>
      <c r="BG143" t="str">
        <f ca="1">IF((OFFSET($A$1, 143 - 1, 57 - 1)) &gt;= (OFFSET($A$1, 108 - 1, 7 - 1)), "1","0")</f>
        <v>0</v>
      </c>
      <c r="BH143">
        <f ca="1" xml:space="preserve"> IF( AND( OFFSET($A$1, 143 - 1, 58 - 1) = "1", OFFSET($A$1, 143 - 1, 59 - 1) = "1" ), 1, IF( AND( OFFSET($A$1, 143 - 1, 58 - 1) = "1", OFFSET($A$1, 143 - 1, 59 - 1) = "0" ), 2, IF( AND( OFFSET($A$1, 143 - 1, 58 - 1) = "0", OFFSET($A$1, 143 - 1, 59 - 1) = "1" ), 3, 4 ) ) )</f>
        <v>4</v>
      </c>
    </row>
    <row r="144" spans="52:60" x14ac:dyDescent="0.25">
      <c r="AZ144" s="7">
        <v>0.15219778913089038</v>
      </c>
      <c r="BA144" s="7" t="str">
        <f>"0"</f>
        <v>0</v>
      </c>
      <c r="BB144" t="str">
        <f ca="1">IF((OFFSET($A$1, 144 - 1, 52 - 1)) &gt;= (OFFSET($A$1, 84 - 1, 7 - 1)), "1","0")</f>
        <v>0</v>
      </c>
      <c r="BC144">
        <f ca="1" xml:space="preserve"> IF( AND( OFFSET($A$1, 144 - 1, 53 - 1) = "1", OFFSET($A$1, 144 - 1, 54 - 1) = "1" ), 1, IF( AND( OFFSET($A$1, 144 - 1, 53 - 1) = "1", OFFSET($A$1, 144 - 1, 54 - 1) = "0" ), 2, IF( AND( OFFSET($A$1, 144 - 1, 53 - 1) = "0", OFFSET($A$1, 144 - 1, 54 - 1) = "1" ), 3, 4 ) ) )</f>
        <v>4</v>
      </c>
      <c r="BE144" s="7">
        <v>0.24741819998309791</v>
      </c>
      <c r="BF144" s="7" t="str">
        <f>"0"</f>
        <v>0</v>
      </c>
      <c r="BG144" t="str">
        <f ca="1">IF((OFFSET($A$1, 144 - 1, 57 - 1)) &gt;= (OFFSET($A$1, 108 - 1, 7 - 1)), "1","0")</f>
        <v>0</v>
      </c>
      <c r="BH144">
        <f ca="1" xml:space="preserve"> IF( AND( OFFSET($A$1, 144 - 1, 58 - 1) = "1", OFFSET($A$1, 144 - 1, 59 - 1) = "1" ), 1, IF( AND( OFFSET($A$1, 144 - 1, 58 - 1) = "1", OFFSET($A$1, 144 - 1, 59 - 1) = "0" ), 2, IF( AND( OFFSET($A$1, 144 - 1, 58 - 1) = "0", OFFSET($A$1, 144 - 1, 59 - 1) = "1" ), 3, 4 ) ) )</f>
        <v>4</v>
      </c>
    </row>
    <row r="145" spans="52:60" x14ac:dyDescent="0.25">
      <c r="AZ145" s="7">
        <v>0.18573382262887414</v>
      </c>
      <c r="BA145" s="7" t="str">
        <f>"1"</f>
        <v>1</v>
      </c>
      <c r="BB145" t="str">
        <f ca="1">IF((OFFSET($A$1, 145 - 1, 52 - 1)) &gt;= (OFFSET($A$1, 84 - 1, 7 - 1)), "1","0")</f>
        <v>0</v>
      </c>
      <c r="BC145">
        <f ca="1" xml:space="preserve"> IF( AND( OFFSET($A$1, 145 - 1, 53 - 1) = "1", OFFSET($A$1, 145 - 1, 54 - 1) = "1" ), 1, IF( AND( OFFSET($A$1, 145 - 1, 53 - 1) = "1", OFFSET($A$1, 145 - 1, 54 - 1) = "0" ), 2, IF( AND( OFFSET($A$1, 145 - 1, 53 - 1) = "0", OFFSET($A$1, 145 - 1, 54 - 1) = "1" ), 3, 4 ) ) )</f>
        <v>2</v>
      </c>
      <c r="BE145" s="7">
        <v>0.1838350401037761</v>
      </c>
      <c r="BF145" s="7" t="str">
        <f>"0"</f>
        <v>0</v>
      </c>
      <c r="BG145" t="str">
        <f ca="1">IF((OFFSET($A$1, 145 - 1, 57 - 1)) &gt;= (OFFSET($A$1, 108 - 1, 7 - 1)), "1","0")</f>
        <v>0</v>
      </c>
      <c r="BH145">
        <f ca="1" xml:space="preserve"> IF( AND( OFFSET($A$1, 145 - 1, 58 - 1) = "1", OFFSET($A$1, 145 - 1, 59 - 1) = "1" ), 1, IF( AND( OFFSET($A$1, 145 - 1, 58 - 1) = "1", OFFSET($A$1, 145 - 1, 59 - 1) = "0" ), 2, IF( AND( OFFSET($A$1, 145 - 1, 58 - 1) = "0", OFFSET($A$1, 145 - 1, 59 - 1) = "1" ), 3, 4 ) ) )</f>
        <v>4</v>
      </c>
    </row>
    <row r="146" spans="52:60" x14ac:dyDescent="0.25">
      <c r="AZ146" s="7">
        <v>0.18441703817132818</v>
      </c>
      <c r="BA146" s="7" t="str">
        <f>"0"</f>
        <v>0</v>
      </c>
      <c r="BB146" t="str">
        <f ca="1">IF((OFFSET($A$1, 146 - 1, 52 - 1)) &gt;= (OFFSET($A$1, 84 - 1, 7 - 1)), "1","0")</f>
        <v>0</v>
      </c>
      <c r="BC146">
        <f ca="1" xml:space="preserve"> IF( AND( OFFSET($A$1, 146 - 1, 53 - 1) = "1", OFFSET($A$1, 146 - 1, 54 - 1) = "1" ), 1, IF( AND( OFFSET($A$1, 146 - 1, 53 - 1) = "1", OFFSET($A$1, 146 - 1, 54 - 1) = "0" ), 2, IF( AND( OFFSET($A$1, 146 - 1, 53 - 1) = "0", OFFSET($A$1, 146 - 1, 54 - 1) = "1" ), 3, 4 ) ) )</f>
        <v>4</v>
      </c>
      <c r="BE146" s="7">
        <v>0.19545479025852741</v>
      </c>
      <c r="BF146" s="7" t="str">
        <f>"1"</f>
        <v>1</v>
      </c>
      <c r="BG146" t="str">
        <f ca="1">IF((OFFSET($A$1, 146 - 1, 57 - 1)) &gt;= (OFFSET($A$1, 108 - 1, 7 - 1)), "1","0")</f>
        <v>0</v>
      </c>
      <c r="BH146">
        <f ca="1" xml:space="preserve"> IF( AND( OFFSET($A$1, 146 - 1, 58 - 1) = "1", OFFSET($A$1, 146 - 1, 59 - 1) = "1" ), 1, IF( AND( OFFSET($A$1, 146 - 1, 58 - 1) = "1", OFFSET($A$1, 146 - 1, 59 - 1) = "0" ), 2, IF( AND( OFFSET($A$1, 146 - 1, 58 - 1) = "0", OFFSET($A$1, 146 - 1, 59 - 1) = "1" ), 3, 4 ) ) )</f>
        <v>2</v>
      </c>
    </row>
    <row r="147" spans="52:60" x14ac:dyDescent="0.25">
      <c r="AZ147" s="7">
        <v>0.26914097468300807</v>
      </c>
      <c r="BA147" s="7" t="str">
        <f>"0"</f>
        <v>0</v>
      </c>
      <c r="BB147" t="str">
        <f ca="1">IF((OFFSET($A$1, 147 - 1, 52 - 1)) &gt;= (OFFSET($A$1, 84 - 1, 7 - 1)), "1","0")</f>
        <v>0</v>
      </c>
      <c r="BC147">
        <f ca="1" xml:space="preserve"> IF( AND( OFFSET($A$1, 147 - 1, 53 - 1) = "1", OFFSET($A$1, 147 - 1, 54 - 1) = "1" ), 1, IF( AND( OFFSET($A$1, 147 - 1, 53 - 1) = "1", OFFSET($A$1, 147 - 1, 54 - 1) = "0" ), 2, IF( AND( OFFSET($A$1, 147 - 1, 53 - 1) = "0", OFFSET($A$1, 147 - 1, 54 - 1) = "1" ), 3, 4 ) ) )</f>
        <v>4</v>
      </c>
      <c r="BE147" s="7">
        <v>0.2225125611207911</v>
      </c>
      <c r="BF147" s="7" t="str">
        <f>"0"</f>
        <v>0</v>
      </c>
      <c r="BG147" t="str">
        <f ca="1">IF((OFFSET($A$1, 147 - 1, 57 - 1)) &gt;= (OFFSET($A$1, 108 - 1, 7 - 1)), "1","0")</f>
        <v>0</v>
      </c>
      <c r="BH147">
        <f ca="1" xml:space="preserve"> IF( AND( OFFSET($A$1, 147 - 1, 58 - 1) = "1", OFFSET($A$1, 147 - 1, 59 - 1) = "1" ), 1, IF( AND( OFFSET($A$1, 147 - 1, 58 - 1) = "1", OFFSET($A$1, 147 - 1, 59 - 1) = "0" ), 2, IF( AND( OFFSET($A$1, 147 - 1, 58 - 1) = "0", OFFSET($A$1, 147 - 1, 59 - 1) = "1" ), 3, 4 ) ) )</f>
        <v>4</v>
      </c>
    </row>
    <row r="148" spans="52:60" x14ac:dyDescent="0.25">
      <c r="AZ148" s="7">
        <v>0.25813061595697051</v>
      </c>
      <c r="BA148" s="7" t="str">
        <f>"0"</f>
        <v>0</v>
      </c>
      <c r="BB148" t="str">
        <f ca="1">IF((OFFSET($A$1, 148 - 1, 52 - 1)) &gt;= (OFFSET($A$1, 84 - 1, 7 - 1)), "1","0")</f>
        <v>0</v>
      </c>
      <c r="BC148">
        <f ca="1" xml:space="preserve"> IF( AND( OFFSET($A$1, 148 - 1, 53 - 1) = "1", OFFSET($A$1, 148 - 1, 54 - 1) = "1" ), 1, IF( AND( OFFSET($A$1, 148 - 1, 53 - 1) = "1", OFFSET($A$1, 148 - 1, 54 - 1) = "0" ), 2, IF( AND( OFFSET($A$1, 148 - 1, 53 - 1) = "0", OFFSET($A$1, 148 - 1, 54 - 1) = "1" ), 3, 4 ) ) )</f>
        <v>4</v>
      </c>
      <c r="BE148" s="7">
        <v>0.24159733953166854</v>
      </c>
      <c r="BF148" s="7" t="str">
        <f>"0"</f>
        <v>0</v>
      </c>
      <c r="BG148" t="str">
        <f ca="1">IF((OFFSET($A$1, 148 - 1, 57 - 1)) &gt;= (OFFSET($A$1, 108 - 1, 7 - 1)), "1","0")</f>
        <v>0</v>
      </c>
      <c r="BH148">
        <f ca="1" xml:space="preserve"> IF( AND( OFFSET($A$1, 148 - 1, 58 - 1) = "1", OFFSET($A$1, 148 - 1, 59 - 1) = "1" ), 1, IF( AND( OFFSET($A$1, 148 - 1, 58 - 1) = "1", OFFSET($A$1, 148 - 1, 59 - 1) = "0" ), 2, IF( AND( OFFSET($A$1, 148 - 1, 58 - 1) = "0", OFFSET($A$1, 148 - 1, 59 - 1) = "1" ), 3, 4 ) ) )</f>
        <v>4</v>
      </c>
    </row>
    <row r="149" spans="52:60" x14ac:dyDescent="0.25">
      <c r="AZ149" s="7">
        <v>0.19944955589309404</v>
      </c>
      <c r="BA149" s="7" t="str">
        <f>"0"</f>
        <v>0</v>
      </c>
      <c r="BB149" t="str">
        <f ca="1">IF((OFFSET($A$1, 149 - 1, 52 - 1)) &gt;= (OFFSET($A$1, 84 - 1, 7 - 1)), "1","0")</f>
        <v>0</v>
      </c>
      <c r="BC149">
        <f ca="1" xml:space="preserve"> IF( AND( OFFSET($A$1, 149 - 1, 53 - 1) = "1", OFFSET($A$1, 149 - 1, 54 - 1) = "1" ), 1, IF( AND( OFFSET($A$1, 149 - 1, 53 - 1) = "1", OFFSET($A$1, 149 - 1, 54 - 1) = "0" ), 2, IF( AND( OFFSET($A$1, 149 - 1, 53 - 1) = "0", OFFSET($A$1, 149 - 1, 54 - 1) = "1" ), 3, 4 ) ) )</f>
        <v>4</v>
      </c>
      <c r="BE149" s="7">
        <v>0.15219778913089038</v>
      </c>
      <c r="BF149" s="7" t="str">
        <f>"0"</f>
        <v>0</v>
      </c>
      <c r="BG149" t="str">
        <f ca="1">IF((OFFSET($A$1, 149 - 1, 57 - 1)) &gt;= (OFFSET($A$1, 108 - 1, 7 - 1)), "1","0")</f>
        <v>0</v>
      </c>
      <c r="BH149">
        <f ca="1" xml:space="preserve"> IF( AND( OFFSET($A$1, 149 - 1, 58 - 1) = "1", OFFSET($A$1, 149 - 1, 59 - 1) = "1" ), 1, IF( AND( OFFSET($A$1, 149 - 1, 58 - 1) = "1", OFFSET($A$1, 149 - 1, 59 - 1) = "0" ), 2, IF( AND( OFFSET($A$1, 149 - 1, 58 - 1) = "0", OFFSET($A$1, 149 - 1, 59 - 1) = "1" ), 3, 4 ) ) )</f>
        <v>4</v>
      </c>
    </row>
    <row r="150" spans="52:60" x14ac:dyDescent="0.25">
      <c r="AZ150" s="7">
        <v>0.25933937183232669</v>
      </c>
      <c r="BA150" s="7" t="str">
        <f>"0"</f>
        <v>0</v>
      </c>
      <c r="BB150" t="str">
        <f ca="1">IF((OFFSET($A$1, 150 - 1, 52 - 1)) &gt;= (OFFSET($A$1, 84 - 1, 7 - 1)), "1","0")</f>
        <v>0</v>
      </c>
      <c r="BC150">
        <f ca="1" xml:space="preserve"> IF( AND( OFFSET($A$1, 150 - 1, 53 - 1) = "1", OFFSET($A$1, 150 - 1, 54 - 1) = "1" ), 1, IF( AND( OFFSET($A$1, 150 - 1, 53 - 1) = "1", OFFSET($A$1, 150 - 1, 54 - 1) = "0" ), 2, IF( AND( OFFSET($A$1, 150 - 1, 53 - 1) = "0", OFFSET($A$1, 150 - 1, 54 - 1) = "1" ), 3, 4 ) ) )</f>
        <v>4</v>
      </c>
      <c r="BE150" s="7">
        <v>0.23473646538289375</v>
      </c>
      <c r="BF150" s="7" t="str">
        <f>"0"</f>
        <v>0</v>
      </c>
      <c r="BG150" t="str">
        <f ca="1">IF((OFFSET($A$1, 150 - 1, 57 - 1)) &gt;= (OFFSET($A$1, 108 - 1, 7 - 1)), "1","0")</f>
        <v>0</v>
      </c>
      <c r="BH150">
        <f ca="1" xml:space="preserve"> IF( AND( OFFSET($A$1, 150 - 1, 58 - 1) = "1", OFFSET($A$1, 150 - 1, 59 - 1) = "1" ), 1, IF( AND( OFFSET($A$1, 150 - 1, 58 - 1) = "1", OFFSET($A$1, 150 - 1, 59 - 1) = "0" ), 2, IF( AND( OFFSET($A$1, 150 - 1, 58 - 1) = "0", OFFSET($A$1, 150 - 1, 59 - 1) = "1" ), 3, 4 ) ) )</f>
        <v>4</v>
      </c>
    </row>
    <row r="151" spans="52:60" x14ac:dyDescent="0.25">
      <c r="AZ151" s="7">
        <v>0.23360621352235511</v>
      </c>
      <c r="BA151" s="7" t="str">
        <f>"0"</f>
        <v>0</v>
      </c>
      <c r="BB151" t="str">
        <f ca="1">IF((OFFSET($A$1, 151 - 1, 52 - 1)) &gt;= (OFFSET($A$1, 84 - 1, 7 - 1)), "1","0")</f>
        <v>0</v>
      </c>
      <c r="BC151">
        <f ca="1" xml:space="preserve"> IF( AND( OFFSET($A$1, 151 - 1, 53 - 1) = "1", OFFSET($A$1, 151 - 1, 54 - 1) = "1" ), 1, IF( AND( OFFSET($A$1, 151 - 1, 53 - 1) = "1", OFFSET($A$1, 151 - 1, 54 - 1) = "0" ), 2, IF( AND( OFFSET($A$1, 151 - 1, 53 - 1) = "0", OFFSET($A$1, 151 - 1, 54 - 1) = "1" ), 3, 4 ) ) )</f>
        <v>4</v>
      </c>
      <c r="BE151" s="7">
        <v>0.27287633116701449</v>
      </c>
      <c r="BF151" s="7" t="str">
        <f>"0"</f>
        <v>0</v>
      </c>
      <c r="BG151" t="str">
        <f ca="1">IF((OFFSET($A$1, 151 - 1, 57 - 1)) &gt;= (OFFSET($A$1, 108 - 1, 7 - 1)), "1","0")</f>
        <v>0</v>
      </c>
      <c r="BH151">
        <f ca="1" xml:space="preserve"> IF( AND( OFFSET($A$1, 151 - 1, 58 - 1) = "1", OFFSET($A$1, 151 - 1, 59 - 1) = "1" ), 1, IF( AND( OFFSET($A$1, 151 - 1, 58 - 1) = "1", OFFSET($A$1, 151 - 1, 59 - 1) = "0" ), 2, IF( AND( OFFSET($A$1, 151 - 1, 58 - 1) = "0", OFFSET($A$1, 151 - 1, 59 - 1) = "1" ), 3, 4 ) ) )</f>
        <v>4</v>
      </c>
    </row>
    <row r="152" spans="52:60" x14ac:dyDescent="0.25">
      <c r="AZ152" s="7">
        <v>0.19054691292786108</v>
      </c>
      <c r="BA152" s="7" t="str">
        <f>"0"</f>
        <v>0</v>
      </c>
      <c r="BB152" t="str">
        <f ca="1">IF((OFFSET($A$1, 152 - 1, 52 - 1)) &gt;= (OFFSET($A$1, 84 - 1, 7 - 1)), "1","0")</f>
        <v>0</v>
      </c>
      <c r="BC152">
        <f ca="1" xml:space="preserve"> IF( AND( OFFSET($A$1, 152 - 1, 53 - 1) = "1", OFFSET($A$1, 152 - 1, 54 - 1) = "1" ), 1, IF( AND( OFFSET($A$1, 152 - 1, 53 - 1) = "1", OFFSET($A$1, 152 - 1, 54 - 1) = "0" ), 2, IF( AND( OFFSET($A$1, 152 - 1, 53 - 1) = "0", OFFSET($A$1, 152 - 1, 54 - 1) = "1" ), 3, 4 ) ) )</f>
        <v>4</v>
      </c>
      <c r="BE152" s="7">
        <v>0.14424250236698524</v>
      </c>
      <c r="BF152" s="7" t="str">
        <f>"1"</f>
        <v>1</v>
      </c>
      <c r="BG152" t="str">
        <f ca="1">IF((OFFSET($A$1, 152 - 1, 57 - 1)) &gt;= (OFFSET($A$1, 108 - 1, 7 - 1)), "1","0")</f>
        <v>0</v>
      </c>
      <c r="BH152">
        <f ca="1" xml:space="preserve"> IF( AND( OFFSET($A$1, 152 - 1, 58 - 1) = "1", OFFSET($A$1, 152 - 1, 59 - 1) = "1" ), 1, IF( AND( OFFSET($A$1, 152 - 1, 58 - 1) = "1", OFFSET($A$1, 152 - 1, 59 - 1) = "0" ), 2, IF( AND( OFFSET($A$1, 152 - 1, 58 - 1) = "0", OFFSET($A$1, 152 - 1, 59 - 1) = "1" ), 3, 4 ) ) )</f>
        <v>2</v>
      </c>
    </row>
    <row r="153" spans="52:60" x14ac:dyDescent="0.25">
      <c r="AZ153" s="7">
        <v>0.19944955589309404</v>
      </c>
      <c r="BA153" s="7" t="str">
        <f>"1"</f>
        <v>1</v>
      </c>
      <c r="BB153" t="str">
        <f ca="1">IF((OFFSET($A$1, 153 - 1, 52 - 1)) &gt;= (OFFSET($A$1, 84 - 1, 7 - 1)), "1","0")</f>
        <v>0</v>
      </c>
      <c r="BC153">
        <f ca="1" xml:space="preserve"> IF( AND( OFFSET($A$1, 153 - 1, 53 - 1) = "1", OFFSET($A$1, 153 - 1, 54 - 1) = "1" ), 1, IF( AND( OFFSET($A$1, 153 - 1, 53 - 1) = "1", OFFSET($A$1, 153 - 1, 54 - 1) = "0" ), 2, IF( AND( OFFSET($A$1, 153 - 1, 53 - 1) = "0", OFFSET($A$1, 153 - 1, 54 - 1) = "1" ), 3, 4 ) ) )</f>
        <v>2</v>
      </c>
      <c r="BE153" s="7">
        <v>0.17639033066452067</v>
      </c>
      <c r="BF153" s="7" t="str">
        <f>"0"</f>
        <v>0</v>
      </c>
      <c r="BG153" t="str">
        <f ca="1">IF((OFFSET($A$1, 153 - 1, 57 - 1)) &gt;= (OFFSET($A$1, 108 - 1, 7 - 1)), "1","0")</f>
        <v>0</v>
      </c>
      <c r="BH153">
        <f ca="1" xml:space="preserve"> IF( AND( OFFSET($A$1, 153 - 1, 58 - 1) = "1", OFFSET($A$1, 153 - 1, 59 - 1) = "1" ), 1, IF( AND( OFFSET($A$1, 153 - 1, 58 - 1) = "1", OFFSET($A$1, 153 - 1, 59 - 1) = "0" ), 2, IF( AND( OFFSET($A$1, 153 - 1, 58 - 1) = "0", OFFSET($A$1, 153 - 1, 59 - 1) = "1" ), 3, 4 ) ) )</f>
        <v>4</v>
      </c>
    </row>
    <row r="154" spans="52:60" x14ac:dyDescent="0.25">
      <c r="AZ154" s="7">
        <v>0.16221527695055615</v>
      </c>
      <c r="BA154" s="7" t="str">
        <f>"0"</f>
        <v>0</v>
      </c>
      <c r="BB154" t="str">
        <f ca="1">IF((OFFSET($A$1, 154 - 1, 52 - 1)) &gt;= (OFFSET($A$1, 84 - 1, 7 - 1)), "1","0")</f>
        <v>0</v>
      </c>
      <c r="BC154">
        <f ca="1" xml:space="preserve"> IF( AND( OFFSET($A$1, 154 - 1, 53 - 1) = "1", OFFSET($A$1, 154 - 1, 54 - 1) = "1" ), 1, IF( AND( OFFSET($A$1, 154 - 1, 53 - 1) = "1", OFFSET($A$1, 154 - 1, 54 - 1) = "0" ), 2, IF( AND( OFFSET($A$1, 154 - 1, 53 - 1) = "0", OFFSET($A$1, 154 - 1, 54 - 1) = "1" ), 3, 4 ) ) )</f>
        <v>4</v>
      </c>
      <c r="BE154" s="7">
        <v>0.19744455577570397</v>
      </c>
      <c r="BF154" s="7" t="str">
        <f>"1"</f>
        <v>1</v>
      </c>
      <c r="BG154" t="str">
        <f ca="1">IF((OFFSET($A$1, 154 - 1, 57 - 1)) &gt;= (OFFSET($A$1, 108 - 1, 7 - 1)), "1","0")</f>
        <v>0</v>
      </c>
      <c r="BH154">
        <f ca="1" xml:space="preserve"> IF( AND( OFFSET($A$1, 154 - 1, 58 - 1) = "1", OFFSET($A$1, 154 - 1, 59 - 1) = "1" ), 1, IF( AND( OFFSET($A$1, 154 - 1, 58 - 1) = "1", OFFSET($A$1, 154 - 1, 59 - 1) = "0" ), 2, IF( AND( OFFSET($A$1, 154 - 1, 58 - 1) = "0", OFFSET($A$1, 154 - 1, 59 - 1) = "1" ), 3, 4 ) ) )</f>
        <v>2</v>
      </c>
    </row>
    <row r="155" spans="52:60" x14ac:dyDescent="0.25">
      <c r="AZ155" s="7">
        <v>0.21285418930728234</v>
      </c>
      <c r="BA155" s="7" t="str">
        <f>"0"</f>
        <v>0</v>
      </c>
      <c r="BB155" t="str">
        <f ca="1">IF((OFFSET($A$1, 155 - 1, 52 - 1)) &gt;= (OFFSET($A$1, 84 - 1, 7 - 1)), "1","0")</f>
        <v>0</v>
      </c>
      <c r="BC155">
        <f ca="1" xml:space="preserve"> IF( AND( OFFSET($A$1, 155 - 1, 53 - 1) = "1", OFFSET($A$1, 155 - 1, 54 - 1) = "1" ), 1, IF( AND( OFFSET($A$1, 155 - 1, 53 - 1) = "1", OFFSET($A$1, 155 - 1, 54 - 1) = "0" ), 2, IF( AND( OFFSET($A$1, 155 - 1, 53 - 1) = "0", OFFSET($A$1, 155 - 1, 54 - 1) = "1" ), 3, 4 ) ) )</f>
        <v>4</v>
      </c>
      <c r="BE155" s="7">
        <v>0.23929529067762409</v>
      </c>
      <c r="BF155" s="7" t="str">
        <f>"0"</f>
        <v>0</v>
      </c>
      <c r="BG155" t="str">
        <f ca="1">IF((OFFSET($A$1, 155 - 1, 57 - 1)) &gt;= (OFFSET($A$1, 108 - 1, 7 - 1)), "1","0")</f>
        <v>0</v>
      </c>
      <c r="BH155">
        <f ca="1" xml:space="preserve"> IF( AND( OFFSET($A$1, 155 - 1, 58 - 1) = "1", OFFSET($A$1, 155 - 1, 59 - 1) = "1" ), 1, IF( AND( OFFSET($A$1, 155 - 1, 58 - 1) = "1", OFFSET($A$1, 155 - 1, 59 - 1) = "0" ), 2, IF( AND( OFFSET($A$1, 155 - 1, 58 - 1) = "0", OFFSET($A$1, 155 - 1, 59 - 1) = "1" ), 3, 4 ) ) )</f>
        <v>4</v>
      </c>
    </row>
    <row r="156" spans="52:60" x14ac:dyDescent="0.25">
      <c r="AZ156" s="7">
        <v>0.26666875937531981</v>
      </c>
      <c r="BA156" s="7" t="str">
        <f>"0"</f>
        <v>0</v>
      </c>
      <c r="BB156" t="str">
        <f ca="1">IF((OFFSET($A$1, 156 - 1, 52 - 1)) &gt;= (OFFSET($A$1, 84 - 1, 7 - 1)), "1","0")</f>
        <v>0</v>
      </c>
      <c r="BC156">
        <f ca="1" xml:space="preserve"> IF( AND( OFFSET($A$1, 156 - 1, 53 - 1) = "1", OFFSET($A$1, 156 - 1, 54 - 1) = "1" ), 1, IF( AND( OFFSET($A$1, 156 - 1, 53 - 1) = "1", OFFSET($A$1, 156 - 1, 54 - 1) = "0" ), 2, IF( AND( OFFSET($A$1, 156 - 1, 53 - 1) = "0", OFFSET($A$1, 156 - 1, 54 - 1) = "1" ), 3, 4 ) ) )</f>
        <v>4</v>
      </c>
      <c r="BE156" s="7">
        <v>0.28044343773102215</v>
      </c>
      <c r="BF156" s="7" t="str">
        <f>"0"</f>
        <v>0</v>
      </c>
      <c r="BG156" t="str">
        <f ca="1">IF((OFFSET($A$1, 156 - 1, 57 - 1)) &gt;= (OFFSET($A$1, 108 - 1, 7 - 1)), "1","0")</f>
        <v>0</v>
      </c>
      <c r="BH156">
        <f ca="1" xml:space="preserve"> IF( AND( OFFSET($A$1, 156 - 1, 58 - 1) = "1", OFFSET($A$1, 156 - 1, 59 - 1) = "1" ), 1, IF( AND( OFFSET($A$1, 156 - 1, 58 - 1) = "1", OFFSET($A$1, 156 - 1, 59 - 1) = "0" ), 2, IF( AND( OFFSET($A$1, 156 - 1, 58 - 1) = "0", OFFSET($A$1, 156 - 1, 59 - 1) = "1" ), 3, 4 ) ) )</f>
        <v>4</v>
      </c>
    </row>
    <row r="157" spans="52:60" x14ac:dyDescent="0.25">
      <c r="AZ157" s="7">
        <v>0.27412862245770181</v>
      </c>
      <c r="BA157" s="7" t="str">
        <f>"0"</f>
        <v>0</v>
      </c>
      <c r="BB157" t="str">
        <f ca="1">IF((OFFSET($A$1, 157 - 1, 52 - 1)) &gt;= (OFFSET($A$1, 84 - 1, 7 - 1)), "1","0")</f>
        <v>0</v>
      </c>
      <c r="BC157">
        <f ca="1" xml:space="preserve"> IF( AND( OFFSET($A$1, 157 - 1, 53 - 1) = "1", OFFSET($A$1, 157 - 1, 54 - 1) = "1" ), 1, IF( AND( OFFSET($A$1, 157 - 1, 53 - 1) = "1", OFFSET($A$1, 157 - 1, 54 - 1) = "0" ), 2, IF( AND( OFFSET($A$1, 157 - 1, 53 - 1) = "0", OFFSET($A$1, 157 - 1, 54 - 1) = "1" ), 3, 4 ) ) )</f>
        <v>4</v>
      </c>
      <c r="BE157" s="7">
        <v>0.12838982215856343</v>
      </c>
      <c r="BF157" s="7" t="str">
        <f>"0"</f>
        <v>0</v>
      </c>
      <c r="BG157" t="str">
        <f ca="1">IF((OFFSET($A$1, 157 - 1, 57 - 1)) &gt;= (OFFSET($A$1, 108 - 1, 7 - 1)), "1","0")</f>
        <v>0</v>
      </c>
      <c r="BH157">
        <f ca="1" xml:space="preserve"> IF( AND( OFFSET($A$1, 157 - 1, 58 - 1) = "1", OFFSET($A$1, 157 - 1, 59 - 1) = "1" ), 1, IF( AND( OFFSET($A$1, 157 - 1, 58 - 1) = "1", OFFSET($A$1, 157 - 1, 59 - 1) = "0" ), 2, IF( AND( OFFSET($A$1, 157 - 1, 58 - 1) = "0", OFFSET($A$1, 157 - 1, 59 - 1) = "1" ), 3, 4 ) ) )</f>
        <v>4</v>
      </c>
    </row>
    <row r="158" spans="52:60" x14ac:dyDescent="0.25">
      <c r="AZ158" s="7">
        <v>0.16446730206389745</v>
      </c>
      <c r="BA158" s="7" t="str">
        <f>"1"</f>
        <v>1</v>
      </c>
      <c r="BB158" t="str">
        <f ca="1">IF((OFFSET($A$1, 158 - 1, 52 - 1)) &gt;= (OFFSET($A$1, 84 - 1, 7 - 1)), "1","0")</f>
        <v>0</v>
      </c>
      <c r="BC158">
        <f ca="1" xml:space="preserve"> IF( AND( OFFSET($A$1, 158 - 1, 53 - 1) = "1", OFFSET($A$1, 158 - 1, 54 - 1) = "1" ), 1, IF( AND( OFFSET($A$1, 158 - 1, 53 - 1) = "1", OFFSET($A$1, 158 - 1, 54 - 1) = "0" ), 2, IF( AND( OFFSET($A$1, 158 - 1, 53 - 1) = "0", OFFSET($A$1, 158 - 1, 54 - 1) = "1" ), 3, 4 ) ) )</f>
        <v>2</v>
      </c>
      <c r="BE158" s="7">
        <v>0.19249866972239305</v>
      </c>
      <c r="BF158" s="7" t="str">
        <f>"0"</f>
        <v>0</v>
      </c>
      <c r="BG158" t="str">
        <f ca="1">IF((OFFSET($A$1, 158 - 1, 57 - 1)) &gt;= (OFFSET($A$1, 108 - 1, 7 - 1)), "1","0")</f>
        <v>0</v>
      </c>
      <c r="BH158">
        <f ca="1" xml:space="preserve"> IF( AND( OFFSET($A$1, 158 - 1, 58 - 1) = "1", OFFSET($A$1, 158 - 1, 59 - 1) = "1" ), 1, IF( AND( OFFSET($A$1, 158 - 1, 58 - 1) = "1", OFFSET($A$1, 158 - 1, 59 - 1) = "0" ), 2, IF( AND( OFFSET($A$1, 158 - 1, 58 - 1) = "0", OFFSET($A$1, 158 - 1, 59 - 1) = "1" ), 3, 4 ) ) )</f>
        <v>4</v>
      </c>
    </row>
    <row r="159" spans="52:60" x14ac:dyDescent="0.25">
      <c r="AZ159" s="7">
        <v>0.24044443221879749</v>
      </c>
      <c r="BA159" s="7" t="str">
        <f>"0"</f>
        <v>0</v>
      </c>
      <c r="BB159" t="str">
        <f ca="1">IF((OFFSET($A$1, 159 - 1, 52 - 1)) &gt;= (OFFSET($A$1, 84 - 1, 7 - 1)), "1","0")</f>
        <v>0</v>
      </c>
      <c r="BC159">
        <f ca="1" xml:space="preserve"> IF( AND( OFFSET($A$1, 159 - 1, 53 - 1) = "1", OFFSET($A$1, 159 - 1, 54 - 1) = "1" ), 1, IF( AND( OFFSET($A$1, 159 - 1, 53 - 1) = "1", OFFSET($A$1, 159 - 1, 54 - 1) = "0" ), 2, IF( AND( OFFSET($A$1, 159 - 1, 53 - 1) = "0", OFFSET($A$1, 159 - 1, 54 - 1) = "1" ), 3, 4 ) ) )</f>
        <v>4</v>
      </c>
      <c r="BE159" s="7">
        <v>0.2716276198978107</v>
      </c>
      <c r="BF159" s="7" t="str">
        <f>"0"</f>
        <v>0</v>
      </c>
      <c r="BG159" t="str">
        <f ca="1">IF((OFFSET($A$1, 159 - 1, 57 - 1)) &gt;= (OFFSET($A$1, 108 - 1, 7 - 1)), "1","0")</f>
        <v>0</v>
      </c>
      <c r="BH159">
        <f ca="1" xml:space="preserve"> IF( AND( OFFSET($A$1, 159 - 1, 58 - 1) = "1", OFFSET($A$1, 159 - 1, 59 - 1) = "1" ), 1, IF( AND( OFFSET($A$1, 159 - 1, 58 - 1) = "1", OFFSET($A$1, 159 - 1, 59 - 1) = "0" ), 2, IF( AND( OFFSET($A$1, 159 - 1, 58 - 1) = "0", OFFSET($A$1, 159 - 1, 59 - 1) = "1" ), 3, 4 ) ) )</f>
        <v>4</v>
      </c>
    </row>
    <row r="160" spans="52:60" x14ac:dyDescent="0.25">
      <c r="AZ160" s="7">
        <v>0.19446561533805254</v>
      </c>
      <c r="BA160" s="7" t="str">
        <f>"0"</f>
        <v>0</v>
      </c>
      <c r="BB160" t="str">
        <f ca="1">IF((OFFSET($A$1, 160 - 1, 52 - 1)) &gt;= (OFFSET($A$1, 84 - 1, 7 - 1)), "1","0")</f>
        <v>0</v>
      </c>
      <c r="BC160">
        <f ca="1" xml:space="preserve"> IF( AND( OFFSET($A$1, 160 - 1, 53 - 1) = "1", OFFSET($A$1, 160 - 1, 54 - 1) = "1" ), 1, IF( AND( OFFSET($A$1, 160 - 1, 53 - 1) = "1", OFFSET($A$1, 160 - 1, 54 - 1) = "0" ), 2, IF( AND( OFFSET($A$1, 160 - 1, 53 - 1) = "0", OFFSET($A$1, 160 - 1, 54 - 1) = "1" ), 3, 4 ) ) )</f>
        <v>4</v>
      </c>
      <c r="BE160" s="7">
        <v>0.21603927017399838</v>
      </c>
      <c r="BF160" s="7" t="str">
        <f>"0"</f>
        <v>0</v>
      </c>
      <c r="BG160" t="str">
        <f ca="1">IF((OFFSET($A$1, 160 - 1, 57 - 1)) &gt;= (OFFSET($A$1, 108 - 1, 7 - 1)), "1","0")</f>
        <v>0</v>
      </c>
      <c r="BH160">
        <f ca="1" xml:space="preserve"> IF( AND( OFFSET($A$1, 160 - 1, 58 - 1) = "1", OFFSET($A$1, 160 - 1, 59 - 1) = "1" ), 1, IF( AND( OFFSET($A$1, 160 - 1, 58 - 1) = "1", OFFSET($A$1, 160 - 1, 59 - 1) = "0" ), 2, IF( AND( OFFSET($A$1, 160 - 1, 58 - 1) = "0", OFFSET($A$1, 160 - 1, 59 - 1) = "1" ), 3, 4 ) ) )</f>
        <v>4</v>
      </c>
    </row>
    <row r="161" spans="52:60" x14ac:dyDescent="0.25">
      <c r="AZ161" s="7">
        <v>0.1934802426337725</v>
      </c>
      <c r="BA161" s="7" t="str">
        <f>"0"</f>
        <v>0</v>
      </c>
      <c r="BB161" t="str">
        <f ca="1">IF((OFFSET($A$1, 161 - 1, 52 - 1)) &gt;= (OFFSET($A$1, 84 - 1, 7 - 1)), "1","0")</f>
        <v>0</v>
      </c>
      <c r="BC161">
        <f ca="1" xml:space="preserve"> IF( AND( OFFSET($A$1, 161 - 1, 53 - 1) = "1", OFFSET($A$1, 161 - 1, 54 - 1) = "1" ), 1, IF( AND( OFFSET($A$1, 161 - 1, 53 - 1) = "1", OFFSET($A$1, 161 - 1, 54 - 1) = "0" ), 2, IF( AND( OFFSET($A$1, 161 - 1, 53 - 1) = "0", OFFSET($A$1, 161 - 1, 54 - 1) = "1" ), 3, 4 ) ) )</f>
        <v>4</v>
      </c>
      <c r="BE161" s="7">
        <v>0.19706005701091953</v>
      </c>
      <c r="BF161" s="7" t="str">
        <f>"1"</f>
        <v>1</v>
      </c>
      <c r="BG161" t="str">
        <f ca="1">IF((OFFSET($A$1, 161 - 1, 57 - 1)) &gt;= (OFFSET($A$1, 108 - 1, 7 - 1)), "1","0")</f>
        <v>0</v>
      </c>
      <c r="BH161">
        <f ca="1" xml:space="preserve"> IF( AND( OFFSET($A$1, 161 - 1, 58 - 1) = "1", OFFSET($A$1, 161 - 1, 59 - 1) = "1" ), 1, IF( AND( OFFSET($A$1, 161 - 1, 58 - 1) = "1", OFFSET($A$1, 161 - 1, 59 - 1) = "0" ), 2, IF( AND( OFFSET($A$1, 161 - 1, 58 - 1) = "0", OFFSET($A$1, 161 - 1, 59 - 1) = "1" ), 3, 4 ) ) )</f>
        <v>2</v>
      </c>
    </row>
    <row r="162" spans="52:60" x14ac:dyDescent="0.25">
      <c r="AZ162" s="7">
        <v>0.17639033066452064</v>
      </c>
      <c r="BA162" s="7" t="str">
        <f>"1"</f>
        <v>1</v>
      </c>
      <c r="BB162" t="str">
        <f ca="1">IF((OFFSET($A$1, 162 - 1, 52 - 1)) &gt;= (OFFSET($A$1, 84 - 1, 7 - 1)), "1","0")</f>
        <v>0</v>
      </c>
      <c r="BC162">
        <f ca="1" xml:space="preserve"> IF( AND( OFFSET($A$1, 162 - 1, 53 - 1) = "1", OFFSET($A$1, 162 - 1, 54 - 1) = "1" ), 1, IF( AND( OFFSET($A$1, 162 - 1, 53 - 1) = "1", OFFSET($A$1, 162 - 1, 54 - 1) = "0" ), 2, IF( AND( OFFSET($A$1, 162 - 1, 53 - 1) = "0", OFFSET($A$1, 162 - 1, 54 - 1) = "1" ), 3, 4 ) ) )</f>
        <v>2</v>
      </c>
      <c r="BE162" s="7">
        <v>0.27038249801385822</v>
      </c>
      <c r="BF162" s="7" t="str">
        <f>"0"</f>
        <v>0</v>
      </c>
      <c r="BG162" t="str">
        <f ca="1">IF((OFFSET($A$1, 162 - 1, 57 - 1)) &gt;= (OFFSET($A$1, 108 - 1, 7 - 1)), "1","0")</f>
        <v>0</v>
      </c>
      <c r="BH162">
        <f ca="1" xml:space="preserve"> IF( AND( OFFSET($A$1, 162 - 1, 58 - 1) = "1", OFFSET($A$1, 162 - 1, 59 - 1) = "1" ), 1, IF( AND( OFFSET($A$1, 162 - 1, 58 - 1) = "1", OFFSET($A$1, 162 - 1, 59 - 1) = "0" ), 2, IF( AND( OFFSET($A$1, 162 - 1, 58 - 1) = "0", OFFSET($A$1, 162 - 1, 59 - 1) = "1" ), 3, 4 ) ) )</f>
        <v>4</v>
      </c>
    </row>
    <row r="163" spans="52:60" x14ac:dyDescent="0.25">
      <c r="AZ163" s="7">
        <v>0.1700723416128419</v>
      </c>
      <c r="BA163" s="7" t="str">
        <f>"0"</f>
        <v>0</v>
      </c>
      <c r="BB163" t="str">
        <f ca="1">IF((OFFSET($A$1, 163 - 1, 52 - 1)) &gt;= (OFFSET($A$1, 84 - 1, 7 - 1)), "1","0")</f>
        <v>0</v>
      </c>
      <c r="BC163">
        <f ca="1" xml:space="preserve"> IF( AND( OFFSET($A$1, 163 - 1, 53 - 1) = "1", OFFSET($A$1, 163 - 1, 54 - 1) = "1" ), 1, IF( AND( OFFSET($A$1, 163 - 1, 53 - 1) = "1", OFFSET($A$1, 163 - 1, 54 - 1) = "0" ), 2, IF( AND( OFFSET($A$1, 163 - 1, 53 - 1) = "0", OFFSET($A$1, 163 - 1, 54 - 1) = "1" ), 3, 4 ) ) )</f>
        <v>4</v>
      </c>
      <c r="BE163" s="7">
        <v>0.21818176131827996</v>
      </c>
      <c r="BF163" s="7" t="str">
        <f>"0"</f>
        <v>0</v>
      </c>
      <c r="BG163" t="str">
        <f ca="1">IF((OFFSET($A$1, 163 - 1, 57 - 1)) &gt;= (OFFSET($A$1, 108 - 1, 7 - 1)), "1","0")</f>
        <v>0</v>
      </c>
      <c r="BH163">
        <f ca="1" xml:space="preserve"> IF( AND( OFFSET($A$1, 163 - 1, 58 - 1) = "1", OFFSET($A$1, 163 - 1, 59 - 1) = "1" ), 1, IF( AND( OFFSET($A$1, 163 - 1, 58 - 1) = "1", OFFSET($A$1, 163 - 1, 59 - 1) = "0" ), 2, IF( AND( OFFSET($A$1, 163 - 1, 58 - 1) = "0", OFFSET($A$1, 163 - 1, 59 - 1) = "1" ), 3, 4 ) ) )</f>
        <v>4</v>
      </c>
    </row>
    <row r="164" spans="52:60" x14ac:dyDescent="0.25">
      <c r="AZ164" s="7">
        <v>0.2225125611207911</v>
      </c>
      <c r="BA164" s="7" t="str">
        <f>"0"</f>
        <v>0</v>
      </c>
      <c r="BB164" t="str">
        <f ca="1">IF((OFFSET($A$1, 164 - 1, 52 - 1)) &gt;= (OFFSET($A$1, 84 - 1, 7 - 1)), "1","0")</f>
        <v>0</v>
      </c>
      <c r="BC164">
        <f ca="1" xml:space="preserve"> IF( AND( OFFSET($A$1, 164 - 1, 53 - 1) = "1", OFFSET($A$1, 164 - 1, 54 - 1) = "1" ), 1, IF( AND( OFFSET($A$1, 164 - 1, 53 - 1) = "1", OFFSET($A$1, 164 - 1, 54 - 1) = "0" ), 2, IF( AND( OFFSET($A$1, 164 - 1, 53 - 1) = "0", OFFSET($A$1, 164 - 1, 54 - 1) = "1" ), 3, 4 ) ) )</f>
        <v>4</v>
      </c>
      <c r="BE164" s="7">
        <v>0.20762215936465331</v>
      </c>
      <c r="BF164" s="7" t="str">
        <f>"1"</f>
        <v>1</v>
      </c>
      <c r="BG164" t="str">
        <f ca="1">IF((OFFSET($A$1, 164 - 1, 57 - 1)) &gt;= (OFFSET($A$1, 108 - 1, 7 - 1)), "1","0")</f>
        <v>0</v>
      </c>
      <c r="BH164">
        <f ca="1" xml:space="preserve"> IF( AND( OFFSET($A$1, 164 - 1, 58 - 1) = "1", OFFSET($A$1, 164 - 1, 59 - 1) = "1" ), 1, IF( AND( OFFSET($A$1, 164 - 1, 58 - 1) = "1", OFFSET($A$1, 164 - 1, 59 - 1) = "0" ), 2, IF( AND( OFFSET($A$1, 164 - 1, 58 - 1) = "0", OFFSET($A$1, 164 - 1, 59 - 1) = "1" ), 3, 4 ) ) )</f>
        <v>2</v>
      </c>
    </row>
    <row r="165" spans="52:60" x14ac:dyDescent="0.25">
      <c r="AZ165" s="7">
        <v>0.17822901051272877</v>
      </c>
      <c r="BA165" s="7" t="str">
        <f>"0"</f>
        <v>0</v>
      </c>
      <c r="BB165" t="str">
        <f ca="1">IF((OFFSET($A$1, 165 - 1, 52 - 1)) &gt;= (OFFSET($A$1, 84 - 1, 7 - 1)), "1","0")</f>
        <v>0</v>
      </c>
      <c r="BC165">
        <f ca="1" xml:space="preserve"> IF( AND( OFFSET($A$1, 165 - 1, 53 - 1) = "1", OFFSET($A$1, 165 - 1, 54 - 1) = "1" ), 1, IF( AND( OFFSET($A$1, 165 - 1, 53 - 1) = "1", OFFSET($A$1, 165 - 1, 54 - 1) = "0" ), 2, IF( AND( OFFSET($A$1, 165 - 1, 53 - 1) = "0", OFFSET($A$1, 165 - 1, 54 - 1) = "1" ), 3, 4 ) ) )</f>
        <v>4</v>
      </c>
      <c r="BE165" s="7">
        <v>0.125595020466097</v>
      </c>
      <c r="BF165" s="7" t="str">
        <f>"0"</f>
        <v>0</v>
      </c>
      <c r="BG165" t="str">
        <f ca="1">IF((OFFSET($A$1, 165 - 1, 57 - 1)) &gt;= (OFFSET($A$1, 108 - 1, 7 - 1)), "1","0")</f>
        <v>0</v>
      </c>
      <c r="BH165">
        <f ca="1" xml:space="preserve"> IF( AND( OFFSET($A$1, 165 - 1, 58 - 1) = "1", OFFSET($A$1, 165 - 1, 59 - 1) = "1" ), 1, IF( AND( OFFSET($A$1, 165 - 1, 58 - 1) = "1", OFFSET($A$1, 165 - 1, 59 - 1) = "0" ), 2, IF( AND( OFFSET($A$1, 165 - 1, 58 - 1) = "0", OFFSET($A$1, 165 - 1, 59 - 1) = "1" ), 3, 4 ) ) )</f>
        <v>4</v>
      </c>
    </row>
    <row r="166" spans="52:60" x14ac:dyDescent="0.25">
      <c r="AZ166" s="7">
        <v>0.17695386976663885</v>
      </c>
      <c r="BA166" s="7" t="str">
        <f>"0"</f>
        <v>0</v>
      </c>
      <c r="BB166" t="str">
        <f ca="1">IF((OFFSET($A$1, 166 - 1, 52 - 1)) &gt;= (OFFSET($A$1, 84 - 1, 7 - 1)), "1","0")</f>
        <v>0</v>
      </c>
      <c r="BC166">
        <f ca="1" xml:space="preserve"> IF( AND( OFFSET($A$1, 166 - 1, 53 - 1) = "1", OFFSET($A$1, 166 - 1, 54 - 1) = "1" ), 1, IF( AND( OFFSET($A$1, 166 - 1, 53 - 1) = "1", OFFSET($A$1, 166 - 1, 54 - 1) = "0" ), 2, IF( AND( OFFSET($A$1, 166 - 1, 53 - 1) = "0", OFFSET($A$1, 166 - 1, 54 - 1) = "1" ), 3, 4 ) ) )</f>
        <v>4</v>
      </c>
      <c r="BE166" s="7">
        <v>0.21244762582254245</v>
      </c>
      <c r="BF166" s="7" t="str">
        <f>"1"</f>
        <v>1</v>
      </c>
      <c r="BG166" t="str">
        <f ca="1">IF((OFFSET($A$1, 166 - 1, 57 - 1)) &gt;= (OFFSET($A$1, 108 - 1, 7 - 1)), "1","0")</f>
        <v>0</v>
      </c>
      <c r="BH166">
        <f ca="1" xml:space="preserve"> IF( AND( OFFSET($A$1, 166 - 1, 58 - 1) = "1", OFFSET($A$1, 166 - 1, 59 - 1) = "1" ), 1, IF( AND( OFFSET($A$1, 166 - 1, 58 - 1) = "1", OFFSET($A$1, 166 - 1, 59 - 1) = "0" ), 2, IF( AND( OFFSET($A$1, 166 - 1, 58 - 1) = "0", OFFSET($A$1, 166 - 1, 59 - 1) = "1" ), 3, 4 ) ) )</f>
        <v>2</v>
      </c>
    </row>
    <row r="167" spans="52:60" x14ac:dyDescent="0.25">
      <c r="AZ167" s="7">
        <v>0.19744455577570397</v>
      </c>
      <c r="BA167" s="7" t="str">
        <f>"1"</f>
        <v>1</v>
      </c>
      <c r="BB167" t="str">
        <f ca="1">IF((OFFSET($A$1, 167 - 1, 52 - 1)) &gt;= (OFFSET($A$1, 84 - 1, 7 - 1)), "1","0")</f>
        <v>0</v>
      </c>
      <c r="BC167">
        <f ca="1" xml:space="preserve"> IF( AND( OFFSET($A$1, 167 - 1, 53 - 1) = "1", OFFSET($A$1, 167 - 1, 54 - 1) = "1" ), 1, IF( AND( OFFSET($A$1, 167 - 1, 53 - 1) = "1", OFFSET($A$1, 167 - 1, 54 - 1) = "0" ), 2, IF( AND( OFFSET($A$1, 167 - 1, 53 - 1) = "0", OFFSET($A$1, 167 - 1, 54 - 1) = "1" ), 3, 4 ) ) )</f>
        <v>2</v>
      </c>
      <c r="BE167" s="7">
        <v>0.1700723416128419</v>
      </c>
      <c r="BF167" s="7" t="str">
        <f>"0"</f>
        <v>0</v>
      </c>
      <c r="BG167" t="str">
        <f ca="1">IF((OFFSET($A$1, 167 - 1, 57 - 1)) &gt;= (OFFSET($A$1, 108 - 1, 7 - 1)), "1","0")</f>
        <v>0</v>
      </c>
      <c r="BH167">
        <f ca="1" xml:space="preserve"> IF( AND( OFFSET($A$1, 167 - 1, 58 - 1) = "1", OFFSET($A$1, 167 - 1, 59 - 1) = "1" ), 1, IF( AND( OFFSET($A$1, 167 - 1, 58 - 1) = "1", OFFSET($A$1, 167 - 1, 59 - 1) = "0" ), 2, IF( AND( OFFSET($A$1, 167 - 1, 58 - 1) = "0", OFFSET($A$1, 167 - 1, 59 - 1) = "1" ), 3, 4 ) ) )</f>
        <v>4</v>
      </c>
    </row>
    <row r="168" spans="52:60" x14ac:dyDescent="0.25">
      <c r="AZ168" s="7">
        <v>0.19644776968561936</v>
      </c>
      <c r="BA168" s="7" t="str">
        <f>"1"</f>
        <v>1</v>
      </c>
      <c r="BB168" t="str">
        <f ca="1">IF((OFFSET($A$1, 168 - 1, 52 - 1)) &gt;= (OFFSET($A$1, 84 - 1, 7 - 1)), "1","0")</f>
        <v>0</v>
      </c>
      <c r="BC168">
        <f ca="1" xml:space="preserve"> IF( AND( OFFSET($A$1, 168 - 1, 53 - 1) = "1", OFFSET($A$1, 168 - 1, 54 - 1) = "1" ), 1, IF( AND( OFFSET($A$1, 168 - 1, 53 - 1) = "1", OFFSET($A$1, 168 - 1, 54 - 1) = "0" ), 2, IF( AND( OFFSET($A$1, 168 - 1, 53 - 1) = "0", OFFSET($A$1, 168 - 1, 54 - 1) = "1" ), 3, 4 ) ) )</f>
        <v>2</v>
      </c>
      <c r="BE168" s="7">
        <v>0.21603927017399838</v>
      </c>
      <c r="BF168" s="7" t="str">
        <f>"1"</f>
        <v>1</v>
      </c>
      <c r="BG168" t="str">
        <f ca="1">IF((OFFSET($A$1, 168 - 1, 57 - 1)) &gt;= (OFFSET($A$1, 108 - 1, 7 - 1)), "1","0")</f>
        <v>0</v>
      </c>
      <c r="BH168">
        <f ca="1" xml:space="preserve"> IF( AND( OFFSET($A$1, 168 - 1, 58 - 1) = "1", OFFSET($A$1, 168 - 1, 59 - 1) = "1" ), 1, IF( AND( OFFSET($A$1, 168 - 1, 58 - 1) = "1", OFFSET($A$1, 168 - 1, 59 - 1) = "0" ), 2, IF( AND( OFFSET($A$1, 168 - 1, 58 - 1) = "0", OFFSET($A$1, 168 - 1, 59 - 1) = "1" ), 3, 4 ) ) )</f>
        <v>2</v>
      </c>
    </row>
    <row r="169" spans="52:60" x14ac:dyDescent="0.25">
      <c r="AZ169" s="7">
        <v>0.17603783907012496</v>
      </c>
      <c r="BA169" s="7" t="str">
        <f>"0"</f>
        <v>0</v>
      </c>
      <c r="BB169" t="str">
        <f ca="1">IF((OFFSET($A$1, 169 - 1, 52 - 1)) &gt;= (OFFSET($A$1, 84 - 1, 7 - 1)), "1","0")</f>
        <v>0</v>
      </c>
      <c r="BC169">
        <f ca="1" xml:space="preserve"> IF( AND( OFFSET($A$1, 169 - 1, 53 - 1) = "1", OFFSET($A$1, 169 - 1, 54 - 1) = "1" ), 1, IF( AND( OFFSET($A$1, 169 - 1, 53 - 1) = "1", OFFSET($A$1, 169 - 1, 54 - 1) = "0" ), 2, IF( AND( OFFSET($A$1, 169 - 1, 53 - 1) = "0", OFFSET($A$1, 169 - 1, 54 - 1) = "1" ), 3, 4 ) ) )</f>
        <v>4</v>
      </c>
      <c r="BE169" s="7">
        <v>0.24624653443584413</v>
      </c>
      <c r="BF169" s="7" t="str">
        <f>"0"</f>
        <v>0</v>
      </c>
      <c r="BG169" t="str">
        <f ca="1">IF((OFFSET($A$1, 169 - 1, 57 - 1)) &gt;= (OFFSET($A$1, 108 - 1, 7 - 1)), "1","0")</f>
        <v>0</v>
      </c>
      <c r="BH169">
        <f ca="1" xml:space="preserve"> IF( AND( OFFSET($A$1, 169 - 1, 58 - 1) = "1", OFFSET($A$1, 169 - 1, 59 - 1) = "1" ), 1, IF( AND( OFFSET($A$1, 169 - 1, 58 - 1) = "1", OFFSET($A$1, 169 - 1, 59 - 1) = "0" ), 2, IF( AND( OFFSET($A$1, 169 - 1, 58 - 1) = "0", OFFSET($A$1, 169 - 1, 59 - 1) = "1" ), 3, 4 ) ) )</f>
        <v>4</v>
      </c>
    </row>
    <row r="170" spans="52:60" x14ac:dyDescent="0.25">
      <c r="AZ170" s="7">
        <v>0.23473646538289375</v>
      </c>
      <c r="BA170" s="7" t="str">
        <f>"0"</f>
        <v>0</v>
      </c>
      <c r="BB170" t="str">
        <f ca="1">IF((OFFSET($A$1, 170 - 1, 52 - 1)) &gt;= (OFFSET($A$1, 84 - 1, 7 - 1)), "1","0")</f>
        <v>0</v>
      </c>
      <c r="BC170">
        <f ca="1" xml:space="preserve"> IF( AND( OFFSET($A$1, 170 - 1, 53 - 1) = "1", OFFSET($A$1, 170 - 1, 54 - 1) = "1" ), 1, IF( AND( OFFSET($A$1, 170 - 1, 53 - 1) = "1", OFFSET($A$1, 170 - 1, 54 - 1) = "0" ), 2, IF( AND( OFFSET($A$1, 170 - 1, 53 - 1) = "0", OFFSET($A$1, 170 - 1, 54 - 1) = "1" ), 3, 4 ) ) )</f>
        <v>4</v>
      </c>
      <c r="BE170" s="7">
        <v>0.22801184951393688</v>
      </c>
      <c r="BF170" s="7" t="str">
        <f>"0"</f>
        <v>0</v>
      </c>
      <c r="BG170" t="str">
        <f ca="1">IF((OFFSET($A$1, 170 - 1, 57 - 1)) &gt;= (OFFSET($A$1, 108 - 1, 7 - 1)), "1","0")</f>
        <v>0</v>
      </c>
      <c r="BH170">
        <f ca="1" xml:space="preserve"> IF( AND( OFFSET($A$1, 170 - 1, 58 - 1) = "1", OFFSET($A$1, 170 - 1, 59 - 1) = "1" ), 1, IF( AND( OFFSET($A$1, 170 - 1, 58 - 1) = "1", OFFSET($A$1, 170 - 1, 59 - 1) = "0" ), 2, IF( AND( OFFSET($A$1, 170 - 1, 58 - 1) = "0", OFFSET($A$1, 170 - 1, 59 - 1) = "1" ), 3, 4 ) ) )</f>
        <v>4</v>
      </c>
    </row>
    <row r="171" spans="52:60" x14ac:dyDescent="0.25">
      <c r="AZ171" s="7">
        <v>0.21456424674624666</v>
      </c>
      <c r="BA171" s="7" t="str">
        <f>"0"</f>
        <v>0</v>
      </c>
      <c r="BB171" t="str">
        <f ca="1">IF((OFFSET($A$1, 171 - 1, 52 - 1)) &gt;= (OFFSET($A$1, 84 - 1, 7 - 1)), "1","0")</f>
        <v>0</v>
      </c>
      <c r="BC171">
        <f ca="1" xml:space="preserve"> IF( AND( OFFSET($A$1, 171 - 1, 53 - 1) = "1", OFFSET($A$1, 171 - 1, 54 - 1) = "1" ), 1, IF( AND( OFFSET($A$1, 171 - 1, 53 - 1) = "1", OFFSET($A$1, 171 - 1, 54 - 1) = "0" ), 2, IF( AND( OFFSET($A$1, 171 - 1, 53 - 1) = "0", OFFSET($A$1, 171 - 1, 54 - 1) = "1" ), 3, 4 ) ) )</f>
        <v>4</v>
      </c>
      <c r="BE171" s="7">
        <v>0.20452879741603713</v>
      </c>
      <c r="BF171" s="7" t="str">
        <f>"1"</f>
        <v>1</v>
      </c>
      <c r="BG171" t="str">
        <f ca="1">IF((OFFSET($A$1, 171 - 1, 57 - 1)) &gt;= (OFFSET($A$1, 108 - 1, 7 - 1)), "1","0")</f>
        <v>0</v>
      </c>
      <c r="BH171">
        <f ca="1" xml:space="preserve"> IF( AND( OFFSET($A$1, 171 - 1, 58 - 1) = "1", OFFSET($A$1, 171 - 1, 59 - 1) = "1" ), 1, IF( AND( OFFSET($A$1, 171 - 1, 58 - 1) = "1", OFFSET($A$1, 171 - 1, 59 - 1) = "0" ), 2, IF( AND( OFFSET($A$1, 171 - 1, 58 - 1) = "0", OFFSET($A$1, 171 - 1, 59 - 1) = "1" ), 3, 4 ) ) )</f>
        <v>2</v>
      </c>
    </row>
    <row r="172" spans="52:60" x14ac:dyDescent="0.25">
      <c r="AZ172" s="7">
        <v>0.1815901772032768</v>
      </c>
      <c r="BA172" s="7" t="str">
        <f>"1"</f>
        <v>1</v>
      </c>
      <c r="BB172" t="str">
        <f ca="1">IF((OFFSET($A$1, 172 - 1, 52 - 1)) &gt;= (OFFSET($A$1, 84 - 1, 7 - 1)), "1","0")</f>
        <v>0</v>
      </c>
      <c r="BC172">
        <f ca="1" xml:space="preserve"> IF( AND( OFFSET($A$1, 172 - 1, 53 - 1) = "1", OFFSET($A$1, 172 - 1, 54 - 1) = "1" ), 1, IF( AND( OFFSET($A$1, 172 - 1, 53 - 1) = "1", OFFSET($A$1, 172 - 1, 54 - 1) = "0" ), 2, IF( AND( OFFSET($A$1, 172 - 1, 53 - 1) = "0", OFFSET($A$1, 172 - 1, 54 - 1) = "1" ), 3, 4 ) ) )</f>
        <v>2</v>
      </c>
      <c r="BE172" s="7">
        <v>0.28684623557319117</v>
      </c>
      <c r="BF172" s="7" t="str">
        <f>"0"</f>
        <v>0</v>
      </c>
      <c r="BG172" t="str">
        <f ca="1">IF((OFFSET($A$1, 172 - 1, 57 - 1)) &gt;= (OFFSET($A$1, 108 - 1, 7 - 1)), "1","0")</f>
        <v>0</v>
      </c>
      <c r="BH172">
        <f ca="1" xml:space="preserve"> IF( AND( OFFSET($A$1, 172 - 1, 58 - 1) = "1", OFFSET($A$1, 172 - 1, 59 - 1) = "1" ), 1, IF( AND( OFFSET($A$1, 172 - 1, 58 - 1) = "1", OFFSET($A$1, 172 - 1, 59 - 1) = "0" ), 2, IF( AND( OFFSET($A$1, 172 - 1, 58 - 1) = "0", OFFSET($A$1, 172 - 1, 59 - 1) = "1" ), 3, 4 ) ) )</f>
        <v>4</v>
      </c>
    </row>
    <row r="173" spans="52:60" x14ac:dyDescent="0.25">
      <c r="AZ173" s="7">
        <v>0.2225125611207911</v>
      </c>
      <c r="BA173" s="7" t="str">
        <f>"0"</f>
        <v>0</v>
      </c>
      <c r="BB173" t="str">
        <f ca="1">IF((OFFSET($A$1, 173 - 1, 52 - 1)) &gt;= (OFFSET($A$1, 84 - 1, 7 - 1)), "1","0")</f>
        <v>0</v>
      </c>
      <c r="BC173">
        <f ca="1" xml:space="preserve"> IF( AND( OFFSET($A$1, 173 - 1, 53 - 1) = "1", OFFSET($A$1, 173 - 1, 54 - 1) = "1" ), 1, IF( AND( OFFSET($A$1, 173 - 1, 53 - 1) = "1", OFFSET($A$1, 173 - 1, 54 - 1) = "0" ), 2, IF( AND( OFFSET($A$1, 173 - 1, 53 - 1) = "0", OFFSET($A$1, 173 - 1, 54 - 1) = "1" ), 3, 4 ) ) )</f>
        <v>4</v>
      </c>
      <c r="BE173" s="7">
        <v>0.21603927017399838</v>
      </c>
      <c r="BF173" s="7" t="str">
        <f>"0"</f>
        <v>0</v>
      </c>
      <c r="BG173" t="str">
        <f ca="1">IF((OFFSET($A$1, 173 - 1, 57 - 1)) &gt;= (OFFSET($A$1, 108 - 1, 7 - 1)), "1","0")</f>
        <v>0</v>
      </c>
      <c r="BH173">
        <f ca="1" xml:space="preserve"> IF( AND( OFFSET($A$1, 173 - 1, 58 - 1) = "1", OFFSET($A$1, 173 - 1, 59 - 1) = "1" ), 1, IF( AND( OFFSET($A$1, 173 - 1, 58 - 1) = "1", OFFSET($A$1, 173 - 1, 59 - 1) = "0" ), 2, IF( AND( OFFSET($A$1, 173 - 1, 58 - 1) = "0", OFFSET($A$1, 173 - 1, 59 - 1) = "1" ), 3, 4 ) ) )</f>
        <v>4</v>
      </c>
    </row>
    <row r="174" spans="52:60" x14ac:dyDescent="0.25">
      <c r="AZ174" s="7">
        <v>0.26055180003985812</v>
      </c>
      <c r="BA174" s="7" t="str">
        <f>"0"</f>
        <v>0</v>
      </c>
      <c r="BB174" t="str">
        <f ca="1">IF((OFFSET($A$1, 174 - 1, 52 - 1)) &gt;= (OFFSET($A$1, 84 - 1, 7 - 1)), "1","0")</f>
        <v>0</v>
      </c>
      <c r="BC174">
        <f ca="1" xml:space="preserve"> IF( AND( OFFSET($A$1, 174 - 1, 53 - 1) = "1", OFFSET($A$1, 174 - 1, 54 - 1) = "1" ), 1, IF( AND( OFFSET($A$1, 174 - 1, 53 - 1) = "1", OFFSET($A$1, 174 - 1, 54 - 1) = "0" ), 2, IF( AND( OFFSET($A$1, 174 - 1, 53 - 1) = "0", OFFSET($A$1, 174 - 1, 54 - 1) = "1" ), 3, 4 ) ) )</f>
        <v>4</v>
      </c>
      <c r="BE174" s="7">
        <v>0.19310160637780577</v>
      </c>
      <c r="BF174" s="7" t="str">
        <f>"1"</f>
        <v>1</v>
      </c>
      <c r="BG174" t="str">
        <f ca="1">IF((OFFSET($A$1, 174 - 1, 57 - 1)) &gt;= (OFFSET($A$1, 108 - 1, 7 - 1)), "1","0")</f>
        <v>0</v>
      </c>
      <c r="BH174">
        <f ca="1" xml:space="preserve"> IF( AND( OFFSET($A$1, 174 - 1, 58 - 1) = "1", OFFSET($A$1, 174 - 1, 59 - 1) = "1" ), 1, IF( AND( OFFSET($A$1, 174 - 1, 58 - 1) = "1", OFFSET($A$1, 174 - 1, 59 - 1) = "0" ), 2, IF( AND( OFFSET($A$1, 174 - 1, 58 - 1) = "0", OFFSET($A$1, 174 - 1, 59 - 1) = "1" ), 3, 4 ) ) )</f>
        <v>2</v>
      </c>
    </row>
    <row r="175" spans="52:60" x14ac:dyDescent="0.25">
      <c r="AZ175" s="7">
        <v>0.21710860581426084</v>
      </c>
      <c r="BA175" s="7" t="str">
        <f>"0"</f>
        <v>0</v>
      </c>
      <c r="BB175" t="str">
        <f ca="1">IF((OFFSET($A$1, 175 - 1, 52 - 1)) &gt;= (OFFSET($A$1, 84 - 1, 7 - 1)), "1","0")</f>
        <v>0</v>
      </c>
      <c r="BC175">
        <f ca="1" xml:space="preserve"> IF( AND( OFFSET($A$1, 175 - 1, 53 - 1) = "1", OFFSET($A$1, 175 - 1, 54 - 1) = "1" ), 1, IF( AND( OFFSET($A$1, 175 - 1, 53 - 1) = "1", OFFSET($A$1, 175 - 1, 54 - 1) = "0" ), 2, IF( AND( OFFSET($A$1, 175 - 1, 53 - 1) = "0", OFFSET($A$1, 175 - 1, 54 - 1) = "1" ), 3, 4 ) ) )</f>
        <v>4</v>
      </c>
      <c r="BE175" s="7">
        <v>0.22142413698645355</v>
      </c>
      <c r="BF175" s="7" t="str">
        <f>"1"</f>
        <v>1</v>
      </c>
      <c r="BG175" t="str">
        <f ca="1">IF((OFFSET($A$1, 175 - 1, 57 - 1)) &gt;= (OFFSET($A$1, 108 - 1, 7 - 1)), "1","0")</f>
        <v>0</v>
      </c>
      <c r="BH175">
        <f ca="1" xml:space="preserve"> IF( AND( OFFSET($A$1, 175 - 1, 58 - 1) = "1", OFFSET($A$1, 175 - 1, 59 - 1) = "1" ), 1, IF( AND( OFFSET($A$1, 175 - 1, 58 - 1) = "1", OFFSET($A$1, 175 - 1, 59 - 1) = "0" ), 2, IF( AND( OFFSET($A$1, 175 - 1, 58 - 1) = "0", OFFSET($A$1, 175 - 1, 59 - 1) = "1" ), 3, 4 ) ) )</f>
        <v>2</v>
      </c>
    </row>
    <row r="176" spans="52:60" x14ac:dyDescent="0.25">
      <c r="AZ176" s="7">
        <v>0.12980700770762402</v>
      </c>
      <c r="BA176" s="7" t="str">
        <f>"0"</f>
        <v>0</v>
      </c>
      <c r="BB176" t="str">
        <f ca="1">IF((OFFSET($A$1, 176 - 1, 52 - 1)) &gt;= (OFFSET($A$1, 84 - 1, 7 - 1)), "1","0")</f>
        <v>0</v>
      </c>
      <c r="BC176">
        <f ca="1" xml:space="preserve"> IF( AND( OFFSET($A$1, 176 - 1, 53 - 1) = "1", OFFSET($A$1, 176 - 1, 54 - 1) = "1" ), 1, IF( AND( OFFSET($A$1, 176 - 1, 53 - 1) = "1", OFFSET($A$1, 176 - 1, 54 - 1) = "0" ), 2, IF( AND( OFFSET($A$1, 176 - 1, 53 - 1) = "0", OFFSET($A$1, 176 - 1, 54 - 1) = "1" ), 3, 4 ) ) )</f>
        <v>4</v>
      </c>
      <c r="BE176" s="7">
        <v>0.26914097468300807</v>
      </c>
      <c r="BF176" s="7" t="str">
        <f>"0"</f>
        <v>0</v>
      </c>
      <c r="BG176" t="str">
        <f ca="1">IF((OFFSET($A$1, 176 - 1, 57 - 1)) &gt;= (OFFSET($A$1, 108 - 1, 7 - 1)), "1","0")</f>
        <v>0</v>
      </c>
      <c r="BH176">
        <f ca="1" xml:space="preserve"> IF( AND( OFFSET($A$1, 176 - 1, 58 - 1) = "1", OFFSET($A$1, 176 - 1, 59 - 1) = "1" ), 1, IF( AND( OFFSET($A$1, 176 - 1, 58 - 1) = "1", OFFSET($A$1, 176 - 1, 59 - 1) = "0" ), 2, IF( AND( OFFSET($A$1, 176 - 1, 58 - 1) = "0", OFFSET($A$1, 176 - 1, 59 - 1) = "1" ), 3, 4 ) ) )</f>
        <v>4</v>
      </c>
    </row>
    <row r="177" spans="52:60" x14ac:dyDescent="0.25">
      <c r="AZ177" s="7">
        <v>0.13413858005385473</v>
      </c>
      <c r="BA177" s="7" t="str">
        <f>"0"</f>
        <v>0</v>
      </c>
      <c r="BB177" t="str">
        <f ca="1">IF((OFFSET($A$1, 177 - 1, 52 - 1)) &gt;= (OFFSET($A$1, 84 - 1, 7 - 1)), "1","0")</f>
        <v>0</v>
      </c>
      <c r="BC177">
        <f ca="1" xml:space="preserve"> IF( AND( OFFSET($A$1, 177 - 1, 53 - 1) = "1", OFFSET($A$1, 177 - 1, 54 - 1) = "1" ), 1, IF( AND( OFFSET($A$1, 177 - 1, 53 - 1) = "1", OFFSET($A$1, 177 - 1, 54 - 1) = "0" ), 2, IF( AND( OFFSET($A$1, 177 - 1, 53 - 1) = "0", OFFSET($A$1, 177 - 1, 54 - 1) = "1" ), 3, 4 ) ) )</f>
        <v>4</v>
      </c>
      <c r="BE177" s="7">
        <v>0.23929529067762409</v>
      </c>
      <c r="BF177" s="7" t="str">
        <f>"0"</f>
        <v>0</v>
      </c>
      <c r="BG177" t="str">
        <f ca="1">IF((OFFSET($A$1, 177 - 1, 57 - 1)) &gt;= (OFFSET($A$1, 108 - 1, 7 - 1)), "1","0")</f>
        <v>0</v>
      </c>
      <c r="BH177">
        <f ca="1" xml:space="preserve"> IF( AND( OFFSET($A$1, 177 - 1, 58 - 1) = "1", OFFSET($A$1, 177 - 1, 59 - 1) = "1" ), 1, IF( AND( OFFSET($A$1, 177 - 1, 58 - 1) = "1", OFFSET($A$1, 177 - 1, 59 - 1) = "0" ), 2, IF( AND( OFFSET($A$1, 177 - 1, 58 - 1) = "0", OFFSET($A$1, 177 - 1, 59 - 1) = "1" ), 3, 4 ) ) )</f>
        <v>4</v>
      </c>
    </row>
    <row r="178" spans="52:60" x14ac:dyDescent="0.25">
      <c r="AZ178" s="7">
        <v>0.27287633116701449</v>
      </c>
      <c r="BA178" s="7" t="str">
        <f>"0"</f>
        <v>0</v>
      </c>
      <c r="BB178" t="str">
        <f ca="1">IF((OFFSET($A$1, 178 - 1, 52 - 1)) &gt;= (OFFSET($A$1, 84 - 1, 7 - 1)), "1","0")</f>
        <v>0</v>
      </c>
      <c r="BC178">
        <f ca="1" xml:space="preserve"> IF( AND( OFFSET($A$1, 178 - 1, 53 - 1) = "1", OFFSET($A$1, 178 - 1, 54 - 1) = "1" ), 1, IF( AND( OFFSET($A$1, 178 - 1, 53 - 1) = "1", OFFSET($A$1, 178 - 1, 54 - 1) = "0" ), 2, IF( AND( OFFSET($A$1, 178 - 1, 53 - 1) = "0", OFFSET($A$1, 178 - 1, 54 - 1) = "1" ), 3, 4 ) ) )</f>
        <v>4</v>
      </c>
      <c r="BE178" s="7">
        <v>0.1934802426337725</v>
      </c>
      <c r="BF178" s="7" t="str">
        <f>"0"</f>
        <v>0</v>
      </c>
      <c r="BG178" t="str">
        <f ca="1">IF((OFFSET($A$1, 178 - 1, 57 - 1)) &gt;= (OFFSET($A$1, 108 - 1, 7 - 1)), "1","0")</f>
        <v>0</v>
      </c>
      <c r="BH178">
        <f ca="1" xml:space="preserve"> IF( AND( OFFSET($A$1, 178 - 1, 58 - 1) = "1", OFFSET($A$1, 178 - 1, 59 - 1) = "1" ), 1, IF( AND( OFFSET($A$1, 178 - 1, 58 - 1) = "1", OFFSET($A$1, 178 - 1, 59 - 1) = "0" ), 2, IF( AND( OFFSET($A$1, 178 - 1, 58 - 1) = "0", OFFSET($A$1, 178 - 1, 59 - 1) = "1" ), 3, 4 ) ) )</f>
        <v>4</v>
      </c>
    </row>
    <row r="179" spans="52:60" x14ac:dyDescent="0.25">
      <c r="AZ179" s="7">
        <v>0.18861032295544114</v>
      </c>
      <c r="BA179" s="7" t="str">
        <f>"0"</f>
        <v>0</v>
      </c>
      <c r="BB179" t="str">
        <f ca="1">IF((OFFSET($A$1, 179 - 1, 52 - 1)) &gt;= (OFFSET($A$1, 84 - 1, 7 - 1)), "1","0")</f>
        <v>0</v>
      </c>
      <c r="BC179">
        <f ca="1" xml:space="preserve"> IF( AND( OFFSET($A$1, 179 - 1, 53 - 1) = "1", OFFSET($A$1, 179 - 1, 54 - 1) = "1" ), 1, IF( AND( OFFSET($A$1, 179 - 1, 53 - 1) = "1", OFFSET($A$1, 179 - 1, 54 - 1) = "0" ), 2, IF( AND( OFFSET($A$1, 179 - 1, 53 - 1) = "0", OFFSET($A$1, 179 - 1, 54 - 1) = "1" ), 3, 4 ) ) )</f>
        <v>4</v>
      </c>
      <c r="BE179" s="7">
        <v>0.10867521232278439</v>
      </c>
      <c r="BF179" s="7" t="str">
        <f>"0"</f>
        <v>0</v>
      </c>
      <c r="BG179" t="str">
        <f ca="1">IF((OFFSET($A$1, 179 - 1, 57 - 1)) &gt;= (OFFSET($A$1, 108 - 1, 7 - 1)), "1","0")</f>
        <v>0</v>
      </c>
      <c r="BH179">
        <f ca="1" xml:space="preserve"> IF( AND( OFFSET($A$1, 179 - 1, 58 - 1) = "1", OFFSET($A$1, 179 - 1, 59 - 1) = "1" ), 1, IF( AND( OFFSET($A$1, 179 - 1, 58 - 1) = "1", OFFSET($A$1, 179 - 1, 59 - 1) = "0" ), 2, IF( AND( OFFSET($A$1, 179 - 1, 58 - 1) = "0", OFFSET($A$1, 179 - 1, 59 - 1) = "1" ), 3, 4 ) ) )</f>
        <v>4</v>
      </c>
    </row>
    <row r="180" spans="52:60" x14ac:dyDescent="0.25">
      <c r="AZ180" s="7">
        <v>0.11686970291532475</v>
      </c>
      <c r="BA180" s="7" t="str">
        <f>"0"</f>
        <v>0</v>
      </c>
      <c r="BB180" t="str">
        <f ca="1">IF((OFFSET($A$1, 180 - 1, 52 - 1)) &gt;= (OFFSET($A$1, 84 - 1, 7 - 1)), "1","0")</f>
        <v>0</v>
      </c>
      <c r="BC180">
        <f ca="1" xml:space="preserve"> IF( AND( OFFSET($A$1, 180 - 1, 53 - 1) = "1", OFFSET($A$1, 180 - 1, 54 - 1) = "1" ), 1, IF( AND( OFFSET($A$1, 180 - 1, 53 - 1) = "1", OFFSET($A$1, 180 - 1, 54 - 1) = "0" ), 2, IF( AND( OFFSET($A$1, 180 - 1, 53 - 1) = "0", OFFSET($A$1, 180 - 1, 54 - 1) = "1" ), 3, 4 ) ) )</f>
        <v>4</v>
      </c>
      <c r="BE180" s="7">
        <v>0.22318352333793492</v>
      </c>
      <c r="BF180" s="7" t="str">
        <f>"0"</f>
        <v>0</v>
      </c>
      <c r="BG180" t="str">
        <f ca="1">IF((OFFSET($A$1, 180 - 1, 57 - 1)) &gt;= (OFFSET($A$1, 108 - 1, 7 - 1)), "1","0")</f>
        <v>0</v>
      </c>
      <c r="BH180">
        <f ca="1" xml:space="preserve"> IF( AND( OFFSET($A$1, 180 - 1, 58 - 1) = "1", OFFSET($A$1, 180 - 1, 59 - 1) = "1" ), 1, IF( AND( OFFSET($A$1, 180 - 1, 58 - 1) = "1", OFFSET($A$1, 180 - 1, 59 - 1) = "0" ), 2, IF( AND( OFFSET($A$1, 180 - 1, 58 - 1) = "0", OFFSET($A$1, 180 - 1, 59 - 1) = "1" ), 3, 4 ) ) )</f>
        <v>4</v>
      </c>
    </row>
    <row r="181" spans="52:60" x14ac:dyDescent="0.25">
      <c r="AZ181" s="7">
        <v>0.18668887575572407</v>
      </c>
      <c r="BA181" s="7" t="str">
        <f>"1"</f>
        <v>1</v>
      </c>
      <c r="BB181" t="str">
        <f ca="1">IF((OFFSET($A$1, 181 - 1, 52 - 1)) &gt;= (OFFSET($A$1, 84 - 1, 7 - 1)), "1","0")</f>
        <v>0</v>
      </c>
      <c r="BC181">
        <f ca="1" xml:space="preserve"> IF( AND( OFFSET($A$1, 181 - 1, 53 - 1) = "1", OFFSET($A$1, 181 - 1, 54 - 1) = "1" ), 1, IF( AND( OFFSET($A$1, 181 - 1, 53 - 1) = "1", OFFSET($A$1, 181 - 1, 54 - 1) = "0" ), 2, IF( AND( OFFSET($A$1, 181 - 1, 53 - 1) = "0", OFFSET($A$1, 181 - 1, 54 - 1) = "1" ), 3, 4 ) ) )</f>
        <v>2</v>
      </c>
      <c r="BE181" s="7">
        <v>0.20515984102163715</v>
      </c>
      <c r="BF181" s="7" t="str">
        <f>"0"</f>
        <v>0</v>
      </c>
      <c r="BG181" t="str">
        <f ca="1">IF((OFFSET($A$1, 181 - 1, 57 - 1)) &gt;= (OFFSET($A$1, 108 - 1, 7 - 1)), "1","0")</f>
        <v>0</v>
      </c>
      <c r="BH181">
        <f ca="1" xml:space="preserve"> IF( AND( OFFSET($A$1, 181 - 1, 58 - 1) = "1", OFFSET($A$1, 181 - 1, 59 - 1) = "1" ), 1, IF( AND( OFFSET($A$1, 181 - 1, 58 - 1) = "1", OFFSET($A$1, 181 - 1, 59 - 1) = "0" ), 2, IF( AND( OFFSET($A$1, 181 - 1, 58 - 1) = "0", OFFSET($A$1, 181 - 1, 59 - 1) = "1" ), 3, 4 ) ) )</f>
        <v>4</v>
      </c>
    </row>
    <row r="182" spans="52:60" x14ac:dyDescent="0.25">
      <c r="AZ182" s="7">
        <v>0.26914097468300807</v>
      </c>
      <c r="BA182" s="7" t="str">
        <f>"0"</f>
        <v>0</v>
      </c>
      <c r="BB182" t="str">
        <f ca="1">IF((OFFSET($A$1, 182 - 1, 52 - 1)) &gt;= (OFFSET($A$1, 84 - 1, 7 - 1)), "1","0")</f>
        <v>0</v>
      </c>
      <c r="BC182">
        <f ca="1" xml:space="preserve"> IF( AND( OFFSET($A$1, 182 - 1, 53 - 1) = "1", OFFSET($A$1, 182 - 1, 54 - 1) = "1" ), 1, IF( AND( OFFSET($A$1, 182 - 1, 53 - 1) = "1", OFFSET($A$1, 182 - 1, 54 - 1) = "0" ), 2, IF( AND( OFFSET($A$1, 182 - 1, 53 - 1) = "0", OFFSET($A$1, 182 - 1, 54 - 1) = "1" ), 3, 4 ) ) )</f>
        <v>4</v>
      </c>
      <c r="BE182" s="7">
        <v>0.21391206138959956</v>
      </c>
      <c r="BF182" s="7" t="str">
        <f>"0"</f>
        <v>0</v>
      </c>
      <c r="BG182" t="str">
        <f ca="1">IF((OFFSET($A$1, 182 - 1, 57 - 1)) &gt;= (OFFSET($A$1, 108 - 1, 7 - 1)), "1","0")</f>
        <v>0</v>
      </c>
      <c r="BH182">
        <f ca="1" xml:space="preserve"> IF( AND( OFFSET($A$1, 182 - 1, 58 - 1) = "1", OFFSET($A$1, 182 - 1, 59 - 1) = "1" ), 1, IF( AND( OFFSET($A$1, 182 - 1, 58 - 1) = "1", OFFSET($A$1, 182 - 1, 59 - 1) = "0" ), 2, IF( AND( OFFSET($A$1, 182 - 1, 58 - 1) = "0", OFFSET($A$1, 182 - 1, 59 - 1) = "1" ), 3, 4 ) ) )</f>
        <v>4</v>
      </c>
    </row>
    <row r="183" spans="52:60" x14ac:dyDescent="0.25">
      <c r="AZ183" s="7">
        <v>0.24044443221879749</v>
      </c>
      <c r="BA183" s="7" t="str">
        <f>"0"</f>
        <v>0</v>
      </c>
      <c r="BB183" t="str">
        <f ca="1">IF((OFFSET($A$1, 183 - 1, 52 - 1)) &gt;= (OFFSET($A$1, 84 - 1, 7 - 1)), "1","0")</f>
        <v>0</v>
      </c>
      <c r="BC183">
        <f ca="1" xml:space="preserve"> IF( AND( OFFSET($A$1, 183 - 1, 53 - 1) = "1", OFFSET($A$1, 183 - 1, 54 - 1) = "1" ), 1, IF( AND( OFFSET($A$1, 183 - 1, 53 - 1) = "1", OFFSET($A$1, 183 - 1, 54 - 1) = "0" ), 2, IF( AND( OFFSET($A$1, 183 - 1, 53 - 1) = "0", OFFSET($A$1, 183 - 1, 54 - 1) = "1" ), 3, 4 ) ) )</f>
        <v>4</v>
      </c>
      <c r="BE183" s="7">
        <v>0.14424250236698524</v>
      </c>
      <c r="BF183" s="7" t="str">
        <f>"0"</f>
        <v>0</v>
      </c>
      <c r="BG183" t="str">
        <f ca="1">IF((OFFSET($A$1, 183 - 1, 57 - 1)) &gt;= (OFFSET($A$1, 108 - 1, 7 - 1)), "1","0")</f>
        <v>0</v>
      </c>
      <c r="BH183">
        <f ca="1" xml:space="preserve"> IF( AND( OFFSET($A$1, 183 - 1, 58 - 1) = "1", OFFSET($A$1, 183 - 1, 59 - 1) = "1" ), 1, IF( AND( OFFSET($A$1, 183 - 1, 58 - 1) = "1", OFFSET($A$1, 183 - 1, 59 - 1) = "0" ), 2, IF( AND( OFFSET($A$1, 183 - 1, 58 - 1) = "0", OFFSET($A$1, 183 - 1, 59 - 1) = "1" ), 3, 4 ) ) )</f>
        <v>4</v>
      </c>
    </row>
    <row r="184" spans="52:60" x14ac:dyDescent="0.25">
      <c r="AZ184" s="7">
        <v>0.20930135974856356</v>
      </c>
      <c r="BA184" s="7" t="str">
        <f>"0"</f>
        <v>0</v>
      </c>
      <c r="BB184" t="str">
        <f ca="1">IF((OFFSET($A$1, 184 - 1, 52 - 1)) &gt;= (OFFSET($A$1, 84 - 1, 7 - 1)), "1","0")</f>
        <v>0</v>
      </c>
      <c r="BC184">
        <f ca="1" xml:space="preserve"> IF( AND( OFFSET($A$1, 184 - 1, 53 - 1) = "1", OFFSET($A$1, 184 - 1, 54 - 1) = "1" ), 1, IF( AND( OFFSET($A$1, 184 - 1, 53 - 1) = "1", OFFSET($A$1, 184 - 1, 54 - 1) = "0" ), 2, IF( AND( OFFSET($A$1, 184 - 1, 53 - 1) = "0", OFFSET($A$1, 184 - 1, 54 - 1) = "1" ), 3, 4 ) ) )</f>
        <v>4</v>
      </c>
      <c r="BE184" s="7">
        <v>0.22690437605456062</v>
      </c>
      <c r="BF184" s="7" t="str">
        <f>"0"</f>
        <v>0</v>
      </c>
      <c r="BG184" t="str">
        <f ca="1">IF((OFFSET($A$1, 184 - 1, 57 - 1)) &gt;= (OFFSET($A$1, 108 - 1, 7 - 1)), "1","0")</f>
        <v>0</v>
      </c>
      <c r="BH184">
        <f ca="1" xml:space="preserve"> IF( AND( OFFSET($A$1, 184 - 1, 58 - 1) = "1", OFFSET($A$1, 184 - 1, 59 - 1) = "1" ), 1, IF( AND( OFFSET($A$1, 184 - 1, 58 - 1) = "1", OFFSET($A$1, 184 - 1, 59 - 1) = "0" ), 2, IF( AND( OFFSET($A$1, 184 - 1, 58 - 1) = "0", OFFSET($A$1, 184 - 1, 59 - 1) = "1" ), 3, 4 ) ) )</f>
        <v>4</v>
      </c>
    </row>
    <row r="185" spans="52:60" x14ac:dyDescent="0.25">
      <c r="AZ185" s="7">
        <v>0.26666875937531981</v>
      </c>
      <c r="BA185" s="7" t="str">
        <f>"0"</f>
        <v>0</v>
      </c>
      <c r="BB185" t="str">
        <f ca="1">IF((OFFSET($A$1, 185 - 1, 52 - 1)) &gt;= (OFFSET($A$1, 84 - 1, 7 - 1)), "1","0")</f>
        <v>0</v>
      </c>
      <c r="BC185">
        <f ca="1" xml:space="preserve"> IF( AND( OFFSET($A$1, 185 - 1, 53 - 1) = "1", OFFSET($A$1, 185 - 1, 54 - 1) = "1" ), 1, IF( AND( OFFSET($A$1, 185 - 1, 53 - 1) = "1", OFFSET($A$1, 185 - 1, 54 - 1) = "0" ), 2, IF( AND( OFFSET($A$1, 185 - 1, 53 - 1) = "0", OFFSET($A$1, 185 - 1, 54 - 1) = "1" ), 3, 4 ) ) )</f>
        <v>4</v>
      </c>
      <c r="BE185" s="7">
        <v>0.15383138937972815</v>
      </c>
      <c r="BF185" s="7" t="str">
        <f>"0"</f>
        <v>0</v>
      </c>
      <c r="BG185" t="str">
        <f ca="1">IF((OFFSET($A$1, 185 - 1, 57 - 1)) &gt;= (OFFSET($A$1, 108 - 1, 7 - 1)), "1","0")</f>
        <v>0</v>
      </c>
      <c r="BH185">
        <f ca="1" xml:space="preserve"> IF( AND( OFFSET($A$1, 185 - 1, 58 - 1) = "1", OFFSET($A$1, 185 - 1, 59 - 1) = "1" ), 1, IF( AND( OFFSET($A$1, 185 - 1, 58 - 1) = "1", OFFSET($A$1, 185 - 1, 59 - 1) = "0" ), 2, IF( AND( OFFSET($A$1, 185 - 1, 58 - 1) = "0", OFFSET($A$1, 185 - 1, 59 - 1) = "1" ), 3, 4 ) ) )</f>
        <v>4</v>
      </c>
    </row>
    <row r="186" spans="52:60" x14ac:dyDescent="0.25">
      <c r="AZ186" s="7">
        <v>0.23473646538289375</v>
      </c>
      <c r="BA186" s="7" t="str">
        <f>"0"</f>
        <v>0</v>
      </c>
      <c r="BB186" t="str">
        <f ca="1">IF((OFFSET($A$1, 186 - 1, 52 - 1)) &gt;= (OFFSET($A$1, 84 - 1, 7 - 1)), "1","0")</f>
        <v>0</v>
      </c>
      <c r="BC186">
        <f ca="1" xml:space="preserve"> IF( AND( OFFSET($A$1, 186 - 1, 53 - 1) = "1", OFFSET($A$1, 186 - 1, 54 - 1) = "1" ), 1, IF( AND( OFFSET($A$1, 186 - 1, 53 - 1) = "1", OFFSET($A$1, 186 - 1, 54 - 1) = "0" ), 2, IF( AND( OFFSET($A$1, 186 - 1, 53 - 1) = "0", OFFSET($A$1, 186 - 1, 54 - 1) = "1" ), 3, 4 ) ) )</f>
        <v>4</v>
      </c>
      <c r="BE186" s="7">
        <v>0.21391206138959956</v>
      </c>
      <c r="BF186" s="7" t="str">
        <f>"0"</f>
        <v>0</v>
      </c>
      <c r="BG186" t="str">
        <f ca="1">IF((OFFSET($A$1, 186 - 1, 57 - 1)) &gt;= (OFFSET($A$1, 108 - 1, 7 - 1)), "1","0")</f>
        <v>0</v>
      </c>
      <c r="BH186">
        <f ca="1" xml:space="preserve"> IF( AND( OFFSET($A$1, 186 - 1, 58 - 1) = "1", OFFSET($A$1, 186 - 1, 59 - 1) = "1" ), 1, IF( AND( OFFSET($A$1, 186 - 1, 58 - 1) = "1", OFFSET($A$1, 186 - 1, 59 - 1) = "0" ), 2, IF( AND( OFFSET($A$1, 186 - 1, 58 - 1) = "0", OFFSET($A$1, 186 - 1, 59 - 1) = "1" ), 3, 4 ) ) )</f>
        <v>4</v>
      </c>
    </row>
    <row r="187" spans="52:60" x14ac:dyDescent="0.25">
      <c r="AZ187" s="7">
        <v>0.1700723416128419</v>
      </c>
      <c r="BA187" s="7" t="str">
        <f>"0"</f>
        <v>0</v>
      </c>
      <c r="BB187" t="str">
        <f ca="1">IF((OFFSET($A$1, 187 - 1, 52 - 1)) &gt;= (OFFSET($A$1, 84 - 1, 7 - 1)), "1","0")</f>
        <v>0</v>
      </c>
      <c r="BC187">
        <f ca="1" xml:space="preserve"> IF( AND( OFFSET($A$1, 187 - 1, 53 - 1) = "1", OFFSET($A$1, 187 - 1, 54 - 1) = "1" ), 1, IF( AND( OFFSET($A$1, 187 - 1, 53 - 1) = "1", OFFSET($A$1, 187 - 1, 54 - 1) = "0" ), 2, IF( AND( OFFSET($A$1, 187 - 1, 53 - 1) = "0", OFFSET($A$1, 187 - 1, 54 - 1) = "1" ), 3, 4 ) ) )</f>
        <v>4</v>
      </c>
      <c r="BE187" s="7">
        <v>0.20350531581163517</v>
      </c>
      <c r="BF187" s="7" t="str">
        <f>"0"</f>
        <v>0</v>
      </c>
      <c r="BG187" t="str">
        <f ca="1">IF((OFFSET($A$1, 187 - 1, 57 - 1)) &gt;= (OFFSET($A$1, 108 - 1, 7 - 1)), "1","0")</f>
        <v>0</v>
      </c>
      <c r="BH187">
        <f ca="1" xml:space="preserve"> IF( AND( OFFSET($A$1, 187 - 1, 58 - 1) = "1", OFFSET($A$1, 187 - 1, 59 - 1) = "1" ), 1, IF( AND( OFFSET($A$1, 187 - 1, 58 - 1) = "1", OFFSET($A$1, 187 - 1, 59 - 1) = "0" ), 2, IF( AND( OFFSET($A$1, 187 - 1, 58 - 1) = "0", OFFSET($A$1, 187 - 1, 59 - 1) = "1" ), 3, 4 ) ) )</f>
        <v>4</v>
      </c>
    </row>
    <row r="188" spans="52:60" x14ac:dyDescent="0.25">
      <c r="AZ188" s="7">
        <v>0.19507322448124206</v>
      </c>
      <c r="BA188" s="7" t="str">
        <f>"1"</f>
        <v>1</v>
      </c>
      <c r="BB188" t="str">
        <f ca="1">IF((OFFSET($A$1, 188 - 1, 52 - 1)) &gt;= (OFFSET($A$1, 84 - 1, 7 - 1)), "1","0")</f>
        <v>0</v>
      </c>
      <c r="BC188">
        <f ca="1" xml:space="preserve"> IF( AND( OFFSET($A$1, 188 - 1, 53 - 1) = "1", OFFSET($A$1, 188 - 1, 54 - 1) = "1" ), 1, IF( AND( OFFSET($A$1, 188 - 1, 53 - 1) = "1", OFFSET($A$1, 188 - 1, 54 - 1) = "0" ), 2, IF( AND( OFFSET($A$1, 188 - 1, 53 - 1) = "0", OFFSET($A$1, 188 - 1, 54 - 1) = "1" ), 3, 4 ) ) )</f>
        <v>2</v>
      </c>
      <c r="BE188" s="7">
        <v>0.25933937183232669</v>
      </c>
      <c r="BF188" s="7" t="str">
        <f>"0"</f>
        <v>0</v>
      </c>
      <c r="BG188" t="str">
        <f ca="1">IF((OFFSET($A$1, 188 - 1, 57 - 1)) &gt;= (OFFSET($A$1, 108 - 1, 7 - 1)), "1","0")</f>
        <v>0</v>
      </c>
      <c r="BH188">
        <f ca="1" xml:space="preserve"> IF( AND( OFFSET($A$1, 188 - 1, 58 - 1) = "1", OFFSET($A$1, 188 - 1, 59 - 1) = "1" ), 1, IF( AND( OFFSET($A$1, 188 - 1, 58 - 1) = "1", OFFSET($A$1, 188 - 1, 59 - 1) = "0" ), 2, IF( AND( OFFSET($A$1, 188 - 1, 58 - 1) = "0", OFFSET($A$1, 188 - 1, 59 - 1) = "1" ), 3, 4 ) ) )</f>
        <v>4</v>
      </c>
    </row>
    <row r="189" spans="52:60" x14ac:dyDescent="0.25">
      <c r="AZ189" s="7">
        <v>0.25452645375464944</v>
      </c>
      <c r="BA189" s="7" t="str">
        <f>"0"</f>
        <v>0</v>
      </c>
      <c r="BB189" t="str">
        <f ca="1">IF((OFFSET($A$1, 189 - 1, 52 - 1)) &gt;= (OFFSET($A$1, 84 - 1, 7 - 1)), "1","0")</f>
        <v>0</v>
      </c>
      <c r="BC189">
        <f ca="1" xml:space="preserve"> IF( AND( OFFSET($A$1, 189 - 1, 53 - 1) = "1", OFFSET($A$1, 189 - 1, 54 - 1) = "1" ), 1, IF( AND( OFFSET($A$1, 189 - 1, 53 - 1) = "1", OFFSET($A$1, 189 - 1, 54 - 1) = "0" ), 2, IF( AND( OFFSET($A$1, 189 - 1, 53 - 1) = "0", OFFSET($A$1, 189 - 1, 54 - 1) = "1" ), 3, 4 ) ) )</f>
        <v>4</v>
      </c>
      <c r="BE189" s="7">
        <v>0.20970350542611282</v>
      </c>
      <c r="BF189" s="7" t="str">
        <f>"0"</f>
        <v>0</v>
      </c>
      <c r="BG189" t="str">
        <f ca="1">IF((OFFSET($A$1, 189 - 1, 57 - 1)) &gt;= (OFFSET($A$1, 108 - 1, 7 - 1)), "1","0")</f>
        <v>0</v>
      </c>
      <c r="BH189">
        <f ca="1" xml:space="preserve"> IF( AND( OFFSET($A$1, 189 - 1, 58 - 1) = "1", OFFSET($A$1, 189 - 1, 59 - 1) = "1" ), 1, IF( AND( OFFSET($A$1, 189 - 1, 58 - 1) = "1", OFFSET($A$1, 189 - 1, 59 - 1) = "0" ), 2, IF( AND( OFFSET($A$1, 189 - 1, 58 - 1) = "0", OFFSET($A$1, 189 - 1, 59 - 1) = "1" ), 3, 4 ) ) )</f>
        <v>4</v>
      </c>
    </row>
    <row r="190" spans="52:60" x14ac:dyDescent="0.25">
      <c r="AZ190" s="7">
        <v>0.20515984102163715</v>
      </c>
      <c r="BA190" s="7" t="str">
        <f>"0"</f>
        <v>0</v>
      </c>
      <c r="BB190" t="str">
        <f ca="1">IF((OFFSET($A$1, 190 - 1, 52 - 1)) &gt;= (OFFSET($A$1, 84 - 1, 7 - 1)), "1","0")</f>
        <v>0</v>
      </c>
      <c r="BC190">
        <f ca="1" xml:space="preserve"> IF( AND( OFFSET($A$1, 190 - 1, 53 - 1) = "1", OFFSET($A$1, 190 - 1, 54 - 1) = "1" ), 1, IF( AND( OFFSET($A$1, 190 - 1, 53 - 1) = "1", OFFSET($A$1, 190 - 1, 54 - 1) = "0" ), 2, IF( AND( OFFSET($A$1, 190 - 1, 53 - 1) = "0", OFFSET($A$1, 190 - 1, 54 - 1) = "1" ), 3, 4 ) ) )</f>
        <v>4</v>
      </c>
      <c r="BE190" s="7">
        <v>0.15598869290864145</v>
      </c>
      <c r="BF190" s="7" t="str">
        <f>"0"</f>
        <v>0</v>
      </c>
      <c r="BG190" t="str">
        <f ca="1">IF((OFFSET($A$1, 190 - 1, 57 - 1)) &gt;= (OFFSET($A$1, 108 - 1, 7 - 1)), "1","0")</f>
        <v>0</v>
      </c>
      <c r="BH190">
        <f ca="1" xml:space="preserve"> IF( AND( OFFSET($A$1, 190 - 1, 58 - 1) = "1", OFFSET($A$1, 190 - 1, 59 - 1) = "1" ), 1, IF( AND( OFFSET($A$1, 190 - 1, 58 - 1) = "1", OFFSET($A$1, 190 - 1, 59 - 1) = "0" ), 2, IF( AND( OFFSET($A$1, 190 - 1, 58 - 1) = "0", OFFSET($A$1, 190 - 1, 59 - 1) = "1" ), 3, 4 ) ) )</f>
        <v>4</v>
      </c>
    </row>
    <row r="191" spans="52:60" x14ac:dyDescent="0.25">
      <c r="AZ191" s="7">
        <v>0.27790687987271895</v>
      </c>
      <c r="BA191" s="7" t="str">
        <f>"0"</f>
        <v>0</v>
      </c>
      <c r="BB191" t="str">
        <f ca="1">IF((OFFSET($A$1, 191 - 1, 52 - 1)) &gt;= (OFFSET($A$1, 84 - 1, 7 - 1)), "1","0")</f>
        <v>0</v>
      </c>
      <c r="BC191">
        <f ca="1" xml:space="preserve"> IF( AND( OFFSET($A$1, 191 - 1, 53 - 1) = "1", OFFSET($A$1, 191 - 1, 54 - 1) = "1" ), 1, IF( AND( OFFSET($A$1, 191 - 1, 53 - 1) = "1", OFFSET($A$1, 191 - 1, 54 - 1) = "0" ), 2, IF( AND( OFFSET($A$1, 191 - 1, 53 - 1) = "0", OFFSET($A$1, 191 - 1, 54 - 1) = "1" ), 3, 4 ) ) )</f>
        <v>4</v>
      </c>
      <c r="BE191" s="7">
        <v>0.12768618941620904</v>
      </c>
      <c r="BF191" s="7" t="str">
        <f>"0"</f>
        <v>0</v>
      </c>
      <c r="BG191" t="str">
        <f ca="1">IF((OFFSET($A$1, 191 - 1, 57 - 1)) &gt;= (OFFSET($A$1, 108 - 1, 7 - 1)), "1","0")</f>
        <v>0</v>
      </c>
      <c r="BH191">
        <f ca="1" xml:space="preserve"> IF( AND( OFFSET($A$1, 191 - 1, 58 - 1) = "1", OFFSET($A$1, 191 - 1, 59 - 1) = "1" ), 1, IF( AND( OFFSET($A$1, 191 - 1, 58 - 1) = "1", OFFSET($A$1, 191 - 1, 59 - 1) = "0" ), 2, IF( AND( OFFSET($A$1, 191 - 1, 58 - 1) = "0", OFFSET($A$1, 191 - 1, 59 - 1) = "1" ), 3, 4 ) ) )</f>
        <v>4</v>
      </c>
    </row>
    <row r="192" spans="52:60" x14ac:dyDescent="0.25">
      <c r="AZ192" s="7">
        <v>0.22427810457794792</v>
      </c>
      <c r="BA192" s="7" t="str">
        <f>"0"</f>
        <v>0</v>
      </c>
      <c r="BB192" t="str">
        <f ca="1">IF((OFFSET($A$1, 192 - 1, 52 - 1)) &gt;= (OFFSET($A$1, 84 - 1, 7 - 1)), "1","0")</f>
        <v>0</v>
      </c>
      <c r="BC192">
        <f ca="1" xml:space="preserve"> IF( AND( OFFSET($A$1, 192 - 1, 53 - 1) = "1", OFFSET($A$1, 192 - 1, 54 - 1) = "1" ), 1, IF( AND( OFFSET($A$1, 192 - 1, 53 - 1) = "1", OFFSET($A$1, 192 - 1, 54 - 1) = "0" ), 2, IF( AND( OFFSET($A$1, 192 - 1, 53 - 1) = "0", OFFSET($A$1, 192 - 1, 54 - 1) = "1" ), 3, 4 ) ) )</f>
        <v>4</v>
      </c>
      <c r="BE192" s="7">
        <v>0.21603927017399838</v>
      </c>
      <c r="BF192" s="7" t="str">
        <f>"0"</f>
        <v>0</v>
      </c>
      <c r="BG192" t="str">
        <f ca="1">IF((OFFSET($A$1, 192 - 1, 57 - 1)) &gt;= (OFFSET($A$1, 108 - 1, 7 - 1)), "1","0")</f>
        <v>0</v>
      </c>
      <c r="BH192">
        <f ca="1" xml:space="preserve"> IF( AND( OFFSET($A$1, 192 - 1, 58 - 1) = "1", OFFSET($A$1, 192 - 1, 59 - 1) = "1" ), 1, IF( AND( OFFSET($A$1, 192 - 1, 58 - 1) = "1", OFFSET($A$1, 192 - 1, 59 - 1) = "0" ), 2, IF( AND( OFFSET($A$1, 192 - 1, 58 - 1) = "0", OFFSET($A$1, 192 - 1, 59 - 1) = "1" ), 3, 4 ) ) )</f>
        <v>4</v>
      </c>
    </row>
    <row r="193" spans="52:60" x14ac:dyDescent="0.25">
      <c r="AZ193" s="7">
        <v>0.20866092156497576</v>
      </c>
      <c r="BA193" s="7" t="str">
        <f>"0"</f>
        <v>0</v>
      </c>
      <c r="BB193" t="str">
        <f ca="1">IF((OFFSET($A$1, 193 - 1, 52 - 1)) &gt;= (OFFSET($A$1, 84 - 1, 7 - 1)), "1","0")</f>
        <v>0</v>
      </c>
      <c r="BC193">
        <f ca="1" xml:space="preserve"> IF( AND( OFFSET($A$1, 193 - 1, 53 - 1) = "1", OFFSET($A$1, 193 - 1, 54 - 1) = "1" ), 1, IF( AND( OFFSET($A$1, 193 - 1, 53 - 1) = "1", OFFSET($A$1, 193 - 1, 54 - 1) = "0" ), 2, IF( AND( OFFSET($A$1, 193 - 1, 53 - 1) = "0", OFFSET($A$1, 193 - 1, 54 - 1) = "1" ), 3, 4 ) ) )</f>
        <v>4</v>
      </c>
      <c r="BE193" s="7">
        <v>0.21884334028137301</v>
      </c>
      <c r="BF193" s="7" t="str">
        <f>"0"</f>
        <v>0</v>
      </c>
      <c r="BG193" t="str">
        <f ca="1">IF((OFFSET($A$1, 193 - 1, 57 - 1)) &gt;= (OFFSET($A$1, 108 - 1, 7 - 1)), "1","0")</f>
        <v>0</v>
      </c>
      <c r="BH193">
        <f ca="1" xml:space="preserve"> IF( AND( OFFSET($A$1, 193 - 1, 58 - 1) = "1", OFFSET($A$1, 193 - 1, 59 - 1) = "1" ), 1, IF( AND( OFFSET($A$1, 193 - 1, 58 - 1) = "1", OFFSET($A$1, 193 - 1, 59 - 1) = "0" ), 2, IF( AND( OFFSET($A$1, 193 - 1, 58 - 1) = "0", OFFSET($A$1, 193 - 1, 59 - 1) = "1" ), 3, 4 ) ) )</f>
        <v>4</v>
      </c>
    </row>
    <row r="194" spans="52:60" x14ac:dyDescent="0.25">
      <c r="AZ194" s="7">
        <v>0.13784097217975702</v>
      </c>
      <c r="BA194" s="7" t="str">
        <f>"0"</f>
        <v>0</v>
      </c>
      <c r="BB194" t="str">
        <f ca="1">IF((OFFSET($A$1, 194 - 1, 52 - 1)) &gt;= (OFFSET($A$1, 84 - 1, 7 - 1)), "1","0")</f>
        <v>0</v>
      </c>
      <c r="BC194">
        <f ca="1" xml:space="preserve"> IF( AND( OFFSET($A$1, 194 - 1, 53 - 1) = "1", OFFSET($A$1, 194 - 1, 54 - 1) = "1" ), 1, IF( AND( OFFSET($A$1, 194 - 1, 53 - 1) = "1", OFFSET($A$1, 194 - 1, 54 - 1) = "0" ), 2, IF( AND( OFFSET($A$1, 194 - 1, 53 - 1) = "0", OFFSET($A$1, 194 - 1, 54 - 1) = "1" ), 3, 4 ) ) )</f>
        <v>4</v>
      </c>
      <c r="BE194" s="7">
        <v>0.16393560795311171</v>
      </c>
      <c r="BF194" s="7" t="str">
        <f>"0"</f>
        <v>0</v>
      </c>
      <c r="BG194" t="str">
        <f ca="1">IF((OFFSET($A$1, 194 - 1, 57 - 1)) &gt;= (OFFSET($A$1, 108 - 1, 7 - 1)), "1","0")</f>
        <v>0</v>
      </c>
      <c r="BH194">
        <f ca="1" xml:space="preserve"> IF( AND( OFFSET($A$1, 194 - 1, 58 - 1) = "1", OFFSET($A$1, 194 - 1, 59 - 1) = "1" ), 1, IF( AND( OFFSET($A$1, 194 - 1, 58 - 1) = "1", OFFSET($A$1, 194 - 1, 59 - 1) = "0" ), 2, IF( AND( OFFSET($A$1, 194 - 1, 58 - 1) = "0", OFFSET($A$1, 194 - 1, 59 - 1) = "1" ), 3, 4 ) ) )</f>
        <v>4</v>
      </c>
    </row>
    <row r="195" spans="52:60" x14ac:dyDescent="0.25">
      <c r="AZ195" s="7">
        <v>0.20146980513632695</v>
      </c>
      <c r="BA195" s="7" t="str">
        <f>"1"</f>
        <v>1</v>
      </c>
      <c r="BB195" t="str">
        <f ca="1">IF((OFFSET($A$1, 195 - 1, 52 - 1)) &gt;= (OFFSET($A$1, 84 - 1, 7 - 1)), "1","0")</f>
        <v>0</v>
      </c>
      <c r="BC195">
        <f ca="1" xml:space="preserve"> IF( AND( OFFSET($A$1, 195 - 1, 53 - 1) = "1", OFFSET($A$1, 195 - 1, 54 - 1) = "1" ), 1, IF( AND( OFFSET($A$1, 195 - 1, 53 - 1) = "1", OFFSET($A$1, 195 - 1, 54 - 1) = "0" ), 2, IF( AND( OFFSET($A$1, 195 - 1, 53 - 1) = "0", OFFSET($A$1, 195 - 1, 54 - 1) = "1" ), 3, 4 ) ) )</f>
        <v>2</v>
      </c>
      <c r="BE195" s="7">
        <v>0.15630865462129281</v>
      </c>
      <c r="BF195" s="7" t="str">
        <f>"0"</f>
        <v>0</v>
      </c>
      <c r="BG195" t="str">
        <f ca="1">IF((OFFSET($A$1, 195 - 1, 57 - 1)) &gt;= (OFFSET($A$1, 108 - 1, 7 - 1)), "1","0")</f>
        <v>0</v>
      </c>
      <c r="BH195">
        <f ca="1" xml:space="preserve"> IF( AND( OFFSET($A$1, 195 - 1, 58 - 1) = "1", OFFSET($A$1, 195 - 1, 59 - 1) = "1" ), 1, IF( AND( OFFSET($A$1, 195 - 1, 58 - 1) = "1", OFFSET($A$1, 195 - 1, 59 - 1) = "0" ), 2, IF( AND( OFFSET($A$1, 195 - 1, 58 - 1) = "0", OFFSET($A$1, 195 - 1, 59 - 1) = "1" ), 3, 4 ) ) )</f>
        <v>4</v>
      </c>
    </row>
    <row r="196" spans="52:60" x14ac:dyDescent="0.25">
      <c r="AZ196" s="7">
        <v>0.21034629300026661</v>
      </c>
      <c r="BA196" s="7" t="str">
        <f>"0"</f>
        <v>0</v>
      </c>
      <c r="BB196" t="str">
        <f ca="1">IF((OFFSET($A$1, 196 - 1, 52 - 1)) &gt;= (OFFSET($A$1, 84 - 1, 7 - 1)), "1","0")</f>
        <v>0</v>
      </c>
      <c r="BC196">
        <f ca="1" xml:space="preserve"> IF( AND( OFFSET($A$1, 196 - 1, 53 - 1) = "1", OFFSET($A$1, 196 - 1, 54 - 1) = "1" ), 1, IF( AND( OFFSET($A$1, 196 - 1, 53 - 1) = "1", OFFSET($A$1, 196 - 1, 54 - 1) = "0" ), 2, IF( AND( OFFSET($A$1, 196 - 1, 53 - 1) = "0", OFFSET($A$1, 196 - 1, 54 - 1) = "1" ), 3, 4 ) ) )</f>
        <v>4</v>
      </c>
      <c r="BE196" s="7">
        <v>0.17366030983475642</v>
      </c>
      <c r="BF196" s="7" t="str">
        <f>"0"</f>
        <v>0</v>
      </c>
      <c r="BG196" t="str">
        <f ca="1">IF((OFFSET($A$1, 196 - 1, 57 - 1)) &gt;= (OFFSET($A$1, 108 - 1, 7 - 1)), "1","0")</f>
        <v>0</v>
      </c>
      <c r="BH196">
        <f ca="1" xml:space="preserve"> IF( AND( OFFSET($A$1, 196 - 1, 58 - 1) = "1", OFFSET($A$1, 196 - 1, 59 - 1) = "1" ), 1, IF( AND( OFFSET($A$1, 196 - 1, 58 - 1) = "1", OFFSET($A$1, 196 - 1, 59 - 1) = "0" ), 2, IF( AND( OFFSET($A$1, 196 - 1, 58 - 1) = "0", OFFSET($A$1, 196 - 1, 59 - 1) = "1" ), 3, 4 ) ) )</f>
        <v>4</v>
      </c>
    </row>
    <row r="197" spans="52:60" x14ac:dyDescent="0.25">
      <c r="AZ197" s="7">
        <v>0.26421104341782214</v>
      </c>
      <c r="BA197" s="7" t="str">
        <f>"0"</f>
        <v>0</v>
      </c>
      <c r="BB197" t="str">
        <f ca="1">IF((OFFSET($A$1, 197 - 1, 52 - 1)) &gt;= (OFFSET($A$1, 84 - 1, 7 - 1)), "1","0")</f>
        <v>0</v>
      </c>
      <c r="BC197">
        <f ca="1" xml:space="preserve"> IF( AND( OFFSET($A$1, 197 - 1, 53 - 1) = "1", OFFSET($A$1, 197 - 1, 54 - 1) = "1" ), 1, IF( AND( OFFSET($A$1, 197 - 1, 53 - 1) = "1", OFFSET($A$1, 197 - 1, 54 - 1) = "0" ), 2, IF( AND( OFFSET($A$1, 197 - 1, 53 - 1) = "0", OFFSET($A$1, 197 - 1, 54 - 1) = "1" ), 3, 4 ) ) )</f>
        <v>4</v>
      </c>
      <c r="BE197" s="7">
        <v>0.27412862245770181</v>
      </c>
      <c r="BF197" s="7" t="str">
        <f>"0"</f>
        <v>0</v>
      </c>
      <c r="BG197" t="str">
        <f ca="1">IF((OFFSET($A$1, 197 - 1, 57 - 1)) &gt;= (OFFSET($A$1, 108 - 1, 7 - 1)), "1","0")</f>
        <v>0</v>
      </c>
      <c r="BH197">
        <f ca="1" xml:space="preserve"> IF( AND( OFFSET($A$1, 197 - 1, 58 - 1) = "1", OFFSET($A$1, 197 - 1, 59 - 1) = "1" ), 1, IF( AND( OFFSET($A$1, 197 - 1, 58 - 1) = "1", OFFSET($A$1, 197 - 1, 59 - 1) = "0" ), 2, IF( AND( OFFSET($A$1, 197 - 1, 58 - 1) = "0", OFFSET($A$1, 197 - 1, 59 - 1) = "1" ), 3, 4 ) ) )</f>
        <v>4</v>
      </c>
    </row>
    <row r="198" spans="52:60" x14ac:dyDescent="0.25">
      <c r="AZ198" s="7">
        <v>0.21818176131827996</v>
      </c>
      <c r="BA198" s="7" t="str">
        <f>"0"</f>
        <v>0</v>
      </c>
      <c r="BB198" t="str">
        <f ca="1">IF((OFFSET($A$1, 198 - 1, 52 - 1)) &gt;= (OFFSET($A$1, 84 - 1, 7 - 1)), "1","0")</f>
        <v>0</v>
      </c>
      <c r="BC198">
        <f ca="1" xml:space="preserve"> IF( AND( OFFSET($A$1, 198 - 1, 53 - 1) = "1", OFFSET($A$1, 198 - 1, 54 - 1) = "1" ), 1, IF( AND( OFFSET($A$1, 198 - 1, 53 - 1) = "1", OFFSET($A$1, 198 - 1, 54 - 1) = "0" ), 2, IF( AND( OFFSET($A$1, 198 - 1, 53 - 1) = "0", OFFSET($A$1, 198 - 1, 54 - 1) = "1" ), 3, 4 ) ) )</f>
        <v>4</v>
      </c>
      <c r="BE198" s="7">
        <v>0.2497727342920856</v>
      </c>
      <c r="BF198" s="7" t="str">
        <f>"0"</f>
        <v>0</v>
      </c>
      <c r="BG198" t="str">
        <f ca="1">IF((OFFSET($A$1, 198 - 1, 57 - 1)) &gt;= (OFFSET($A$1, 108 - 1, 7 - 1)), "1","0")</f>
        <v>0</v>
      </c>
      <c r="BH198">
        <f ca="1" xml:space="preserve"> IF( AND( OFFSET($A$1, 198 - 1, 58 - 1) = "1", OFFSET($A$1, 198 - 1, 59 - 1) = "1" ), 1, IF( AND( OFFSET($A$1, 198 - 1, 58 - 1) = "1", OFFSET($A$1, 198 - 1, 59 - 1) = "0" ), 2, IF( AND( OFFSET($A$1, 198 - 1, 58 - 1) = "0", OFFSET($A$1, 198 - 1, 59 - 1) = "1" ), 3, 4 ) ) )</f>
        <v>4</v>
      </c>
    </row>
    <row r="199" spans="52:60" x14ac:dyDescent="0.25">
      <c r="AZ199" s="7">
        <v>0.14346629027751395</v>
      </c>
      <c r="BA199" s="7" t="str">
        <f>"0"</f>
        <v>0</v>
      </c>
      <c r="BB199" t="str">
        <f ca="1">IF((OFFSET($A$1, 199 - 1, 52 - 1)) &gt;= (OFFSET($A$1, 84 - 1, 7 - 1)), "1","0")</f>
        <v>0</v>
      </c>
      <c r="BC199">
        <f ca="1" xml:space="preserve"> IF( AND( OFFSET($A$1, 199 - 1, 53 - 1) = "1", OFFSET($A$1, 199 - 1, 54 - 1) = "1" ), 1, IF( AND( OFFSET($A$1, 199 - 1, 53 - 1) = "1", OFFSET($A$1, 199 - 1, 54 - 1) = "0" ), 2, IF( AND( OFFSET($A$1, 199 - 1, 53 - 1) = "0", OFFSET($A$1, 199 - 1, 54 - 1) = "1" ), 3, 4 ) ) )</f>
        <v>4</v>
      </c>
      <c r="BE199" s="7">
        <v>0.1934802426337725</v>
      </c>
      <c r="BF199" s="7" t="str">
        <f>"0"</f>
        <v>0</v>
      </c>
      <c r="BG199" t="str">
        <f ca="1">IF((OFFSET($A$1, 199 - 1, 57 - 1)) &gt;= (OFFSET($A$1, 108 - 1, 7 - 1)), "1","0")</f>
        <v>0</v>
      </c>
      <c r="BH199">
        <f ca="1" xml:space="preserve"> IF( AND( OFFSET($A$1, 199 - 1, 58 - 1) = "1", OFFSET($A$1, 199 - 1, 59 - 1) = "1" ), 1, IF( AND( OFFSET($A$1, 199 - 1, 58 - 1) = "1", OFFSET($A$1, 199 - 1, 59 - 1) = "0" ), 2, IF( AND( OFFSET($A$1, 199 - 1, 58 - 1) = "0", OFFSET($A$1, 199 - 1, 59 - 1) = "1" ), 3, 4 ) ) )</f>
        <v>4</v>
      </c>
    </row>
    <row r="200" spans="52:60" x14ac:dyDescent="0.25">
      <c r="AZ200" s="7">
        <v>0.139637274533471</v>
      </c>
      <c r="BA200" s="7" t="str">
        <f>"0"</f>
        <v>0</v>
      </c>
      <c r="BB200" t="str">
        <f ca="1">IF((OFFSET($A$1, 200 - 1, 52 - 1)) &gt;= (OFFSET($A$1, 84 - 1, 7 - 1)), "1","0")</f>
        <v>0</v>
      </c>
      <c r="BC200">
        <f ca="1" xml:space="preserve"> IF( AND( OFFSET($A$1, 200 - 1, 53 - 1) = "1", OFFSET($A$1, 200 - 1, 54 - 1) = "1" ), 1, IF( AND( OFFSET($A$1, 200 - 1, 53 - 1) = "1", OFFSET($A$1, 200 - 1, 54 - 1) = "0" ), 2, IF( AND( OFFSET($A$1, 200 - 1, 53 - 1) = "0", OFFSET($A$1, 200 - 1, 54 - 1) = "1" ), 3, 4 ) ) )</f>
        <v>4</v>
      </c>
      <c r="BE200" s="7">
        <v>0.16393560795311171</v>
      </c>
      <c r="BF200" s="7" t="str">
        <f>"0"</f>
        <v>0</v>
      </c>
      <c r="BG200" t="str">
        <f ca="1">IF((OFFSET($A$1, 200 - 1, 57 - 1)) &gt;= (OFFSET($A$1, 108 - 1, 7 - 1)), "1","0")</f>
        <v>0</v>
      </c>
      <c r="BH200">
        <f ca="1" xml:space="preserve"> IF( AND( OFFSET($A$1, 200 - 1, 58 - 1) = "1", OFFSET($A$1, 200 - 1, 59 - 1) = "1" ), 1, IF( AND( OFFSET($A$1, 200 - 1, 58 - 1) = "1", OFFSET($A$1, 200 - 1, 59 - 1) = "0" ), 2, IF( AND( OFFSET($A$1, 200 - 1, 58 - 1) = "0", OFFSET($A$1, 200 - 1, 59 - 1) = "1" ), 3, 4 ) ) )</f>
        <v>4</v>
      </c>
    </row>
    <row r="201" spans="52:60" x14ac:dyDescent="0.25">
      <c r="AZ201" s="7">
        <v>0.23135707965555613</v>
      </c>
      <c r="BA201" s="7" t="str">
        <f>"0"</f>
        <v>0</v>
      </c>
      <c r="BB201" t="str">
        <f ca="1">IF((OFFSET($A$1, 201 - 1, 52 - 1)) &gt;= (OFFSET($A$1, 84 - 1, 7 - 1)), "1","0")</f>
        <v>0</v>
      </c>
      <c r="BC201">
        <f ca="1" xml:space="preserve"> IF( AND( OFFSET($A$1, 201 - 1, 53 - 1) = "1", OFFSET($A$1, 201 - 1, 54 - 1) = "1" ), 1, IF( AND( OFFSET($A$1, 201 - 1, 53 - 1) = "1", OFFSET($A$1, 201 - 1, 54 - 1) = "0" ), 2, IF( AND( OFFSET($A$1, 201 - 1, 53 - 1) = "0", OFFSET($A$1, 201 - 1, 54 - 1) = "1" ), 3, 4 ) ) )</f>
        <v>4</v>
      </c>
    </row>
    <row r="202" spans="52:60" x14ac:dyDescent="0.25">
      <c r="AZ202" s="7">
        <v>0.21710860581426084</v>
      </c>
      <c r="BA202" s="7" t="str">
        <f>"1"</f>
        <v>1</v>
      </c>
      <c r="BB202" t="str">
        <f ca="1">IF((OFFSET($A$1, 202 - 1, 52 - 1)) &gt;= (OFFSET($A$1, 84 - 1, 7 - 1)), "1","0")</f>
        <v>0</v>
      </c>
      <c r="BC202">
        <f ca="1" xml:space="preserve"> IF( AND( OFFSET($A$1, 202 - 1, 53 - 1) = "1", OFFSET($A$1, 202 - 1, 54 - 1) = "1" ), 1, IF( AND( OFFSET($A$1, 202 - 1, 53 - 1) = "1", OFFSET($A$1, 202 - 1, 54 - 1) = "0" ), 2, IF( AND( OFFSET($A$1, 202 - 1, 53 - 1) = "0", OFFSET($A$1, 202 - 1, 54 - 1) = "1" ), 3, 4 ) ) )</f>
        <v>2</v>
      </c>
    </row>
    <row r="203" spans="52:60" x14ac:dyDescent="0.25">
      <c r="AZ203" s="7">
        <v>0.25692553965164677</v>
      </c>
      <c r="BA203" s="7" t="str">
        <f>"0"</f>
        <v>0</v>
      </c>
      <c r="BB203" t="str">
        <f ca="1">IF((OFFSET($A$1, 203 - 1, 52 - 1)) &gt;= (OFFSET($A$1, 84 - 1, 7 - 1)), "1","0")</f>
        <v>0</v>
      </c>
      <c r="BC203">
        <f ca="1" xml:space="preserve"> IF( AND( OFFSET($A$1, 203 - 1, 53 - 1) = "1", OFFSET($A$1, 203 - 1, 54 - 1) = "1" ), 1, IF( AND( OFFSET($A$1, 203 - 1, 53 - 1) = "1", OFFSET($A$1, 203 - 1, 54 - 1) = "0" ), 2, IF( AND( OFFSET($A$1, 203 - 1, 53 - 1) = "0", OFFSET($A$1, 203 - 1, 54 - 1) = "1" ), 3, 4 ) ) )</f>
        <v>4</v>
      </c>
    </row>
    <row r="204" spans="52:60" x14ac:dyDescent="0.25">
      <c r="AZ204" s="7">
        <v>0.21497375516287537</v>
      </c>
      <c r="BA204" s="7" t="str">
        <f>"0"</f>
        <v>0</v>
      </c>
      <c r="BB204" t="str">
        <f ca="1">IF((OFFSET($A$1, 204 - 1, 52 - 1)) &gt;= (OFFSET($A$1, 84 - 1, 7 - 1)), "1","0")</f>
        <v>0</v>
      </c>
      <c r="BC204">
        <f ca="1" xml:space="preserve"> IF( AND( OFFSET($A$1, 204 - 1, 53 - 1) = "1", OFFSET($A$1, 204 - 1, 54 - 1) = "1" ), 1, IF( AND( OFFSET($A$1, 204 - 1, 53 - 1) = "1", OFFSET($A$1, 204 - 1, 54 - 1) = "0" ), 2, IF( AND( OFFSET($A$1, 204 - 1, 53 - 1) = "0", OFFSET($A$1, 204 - 1, 54 - 1) = "1" ), 3, 4 ) ) )</f>
        <v>4</v>
      </c>
    </row>
    <row r="205" spans="52:60" x14ac:dyDescent="0.25">
      <c r="AZ205" s="7">
        <v>0.21776783710213313</v>
      </c>
      <c r="BA205" s="7" t="str">
        <f>"1"</f>
        <v>1</v>
      </c>
      <c r="BB205" t="str">
        <f ca="1">IF((OFFSET($A$1, 205 - 1, 52 - 1)) &gt;= (OFFSET($A$1, 84 - 1, 7 - 1)), "1","0")</f>
        <v>0</v>
      </c>
      <c r="BC205">
        <f ca="1" xml:space="preserve"> IF( AND( OFFSET($A$1, 205 - 1, 53 - 1) = "1", OFFSET($A$1, 205 - 1, 54 - 1) = "1" ), 1, IF( AND( OFFSET($A$1, 205 - 1, 53 - 1) = "1", OFFSET($A$1, 205 - 1, 54 - 1) = "0" ), 2, IF( AND( OFFSET($A$1, 205 - 1, 53 - 1) = "0", OFFSET($A$1, 205 - 1, 54 - 1) = "1" ), 3, 4 ) ) )</f>
        <v>2</v>
      </c>
    </row>
    <row r="206" spans="52:60" x14ac:dyDescent="0.25">
      <c r="AZ206" s="7">
        <v>0.25214216826208485</v>
      </c>
      <c r="BA206" s="7" t="str">
        <f>"0"</f>
        <v>0</v>
      </c>
      <c r="BB206" t="str">
        <f ca="1">IF((OFFSET($A$1, 206 - 1, 52 - 1)) &gt;= (OFFSET($A$1, 84 - 1, 7 - 1)), "1","0")</f>
        <v>0</v>
      </c>
      <c r="BC206">
        <f ca="1" xml:space="preserve"> IF( AND( OFFSET($A$1, 206 - 1, 53 - 1) = "1", OFFSET($A$1, 206 - 1, 54 - 1) = "1" ), 1, IF( AND( OFFSET($A$1, 206 - 1, 53 - 1) = "1", OFFSET($A$1, 206 - 1, 54 - 1) = "0" ), 2, IF( AND( OFFSET($A$1, 206 - 1, 53 - 1) = "0", OFFSET($A$1, 206 - 1, 54 - 1) = "1" ), 3, 4 ) ) )</f>
        <v>4</v>
      </c>
    </row>
    <row r="207" spans="52:60" x14ac:dyDescent="0.25">
      <c r="AZ207" s="7">
        <v>0.17915396406021078</v>
      </c>
      <c r="BA207" s="7" t="str">
        <f>"0"</f>
        <v>0</v>
      </c>
      <c r="BB207" t="str">
        <f ca="1">IF((OFFSET($A$1, 207 - 1, 52 - 1)) &gt;= (OFFSET($A$1, 84 - 1, 7 - 1)), "1","0")</f>
        <v>0</v>
      </c>
      <c r="BC207">
        <f ca="1" xml:space="preserve"> IF( AND( OFFSET($A$1, 207 - 1, 53 - 1) = "1", OFFSET($A$1, 207 - 1, 54 - 1) = "1" ), 1, IF( AND( OFFSET($A$1, 207 - 1, 53 - 1) = "1", OFFSET($A$1, 207 - 1, 54 - 1) = "0" ), 2, IF( AND( OFFSET($A$1, 207 - 1, 53 - 1) = "0", OFFSET($A$1, 207 - 1, 54 - 1) = "1" ), 3, 4 ) ) )</f>
        <v>4</v>
      </c>
    </row>
    <row r="208" spans="52:60" x14ac:dyDescent="0.25">
      <c r="AZ208" s="7">
        <v>0.23247975053334097</v>
      </c>
      <c r="BA208" s="7" t="str">
        <f>"0"</f>
        <v>0</v>
      </c>
      <c r="BB208" t="str">
        <f ca="1">IF((OFFSET($A$1, 208 - 1, 52 - 1)) &gt;= (OFFSET($A$1, 84 - 1, 7 - 1)), "1","0")</f>
        <v>0</v>
      </c>
      <c r="BC208">
        <f ca="1" xml:space="preserve"> IF( AND( OFFSET($A$1, 208 - 1, 53 - 1) = "1", OFFSET($A$1, 208 - 1, 54 - 1) = "1" ), 1, IF( AND( OFFSET($A$1, 208 - 1, 53 - 1) = "1", OFFSET($A$1, 208 - 1, 54 - 1) = "0" ), 2, IF( AND( OFFSET($A$1, 208 - 1, 53 - 1) = "0", OFFSET($A$1, 208 - 1, 54 - 1) = "1" ), 3, 4 ) ) )</f>
        <v>4</v>
      </c>
    </row>
    <row r="209" spans="52:55" x14ac:dyDescent="0.25">
      <c r="AZ209" s="7">
        <v>0.125595020466097</v>
      </c>
      <c r="BA209" s="7" t="str">
        <f>"0"</f>
        <v>0</v>
      </c>
      <c r="BB209" t="str">
        <f ca="1">IF((OFFSET($A$1, 209 - 1, 52 - 1)) &gt;= (OFFSET($A$1, 84 - 1, 7 - 1)), "1","0")</f>
        <v>0</v>
      </c>
      <c r="BC209">
        <f ca="1" xml:space="preserve"> IF( AND( OFFSET($A$1, 209 - 1, 53 - 1) = "1", OFFSET($A$1, 209 - 1, 54 - 1) = "1" ), 1, IF( AND( OFFSET($A$1, 209 - 1, 53 - 1) = "1", OFFSET($A$1, 209 - 1, 54 - 1) = "0" ), 2, IF( AND( OFFSET($A$1, 209 - 1, 53 - 1) = "0", OFFSET($A$1, 209 - 1, 54 - 1) = "1" ), 3, 4 ) ) )</f>
        <v>4</v>
      </c>
    </row>
    <row r="210" spans="52:55" x14ac:dyDescent="0.25">
      <c r="AZ210" s="7">
        <v>0.28943168192732205</v>
      </c>
      <c r="BA210" s="7" t="str">
        <f>"0"</f>
        <v>0</v>
      </c>
      <c r="BB210" t="str">
        <f ca="1">IF((OFFSET($A$1, 210 - 1, 52 - 1)) &gt;= (OFFSET($A$1, 84 - 1, 7 - 1)), "1","0")</f>
        <v>0</v>
      </c>
      <c r="BC210">
        <f ca="1" xml:space="preserve"> IF( AND( OFFSET($A$1, 210 - 1, 53 - 1) = "1", OFFSET($A$1, 210 - 1, 54 - 1) = "1" ), 1, IF( AND( OFFSET($A$1, 210 - 1, 53 - 1) = "1", OFFSET($A$1, 210 - 1, 54 - 1) = "0" ), 2, IF( AND( OFFSET($A$1, 210 - 1, 53 - 1) = "0", OFFSET($A$1, 210 - 1, 54 - 1) = "1" ), 3, 4 ) ) )</f>
        <v>4</v>
      </c>
    </row>
    <row r="211" spans="52:55" x14ac:dyDescent="0.25">
      <c r="AZ211" s="7">
        <v>0.12421725565443605</v>
      </c>
      <c r="BA211" s="7" t="str">
        <f>"0"</f>
        <v>0</v>
      </c>
      <c r="BB211" t="str">
        <f ca="1">IF((OFFSET($A$1, 211 - 1, 52 - 1)) &gt;= (OFFSET($A$1, 84 - 1, 7 - 1)), "1","0")</f>
        <v>0</v>
      </c>
      <c r="BC211">
        <f ca="1" xml:space="preserve"> IF( AND( OFFSET($A$1, 211 - 1, 53 - 1) = "1", OFFSET($A$1, 211 - 1, 54 - 1) = "1" ), 1, IF( AND( OFFSET($A$1, 211 - 1, 53 - 1) = "1", OFFSET($A$1, 211 - 1, 54 - 1) = "0" ), 2, IF( AND( OFFSET($A$1, 211 - 1, 53 - 1) = "0", OFFSET($A$1, 211 - 1, 54 - 1) = "1" ), 3, 4 ) ) )</f>
        <v>4</v>
      </c>
    </row>
    <row r="212" spans="52:55" x14ac:dyDescent="0.25">
      <c r="AZ212" s="7">
        <v>0.25095559175855048</v>
      </c>
      <c r="BA212" s="7" t="str">
        <f>"0"</f>
        <v>0</v>
      </c>
      <c r="BB212" t="str">
        <f ca="1">IF((OFFSET($A$1, 212 - 1, 52 - 1)) &gt;= (OFFSET($A$1, 84 - 1, 7 - 1)), "1","0")</f>
        <v>0</v>
      </c>
      <c r="BC212">
        <f ca="1" xml:space="preserve"> IF( AND( OFFSET($A$1, 212 - 1, 53 - 1) = "1", OFFSET($A$1, 212 - 1, 54 - 1) = "1" ), 1, IF( AND( OFFSET($A$1, 212 - 1, 53 - 1) = "1", OFFSET($A$1, 212 - 1, 54 - 1) = "0" ), 2, IF( AND( OFFSET($A$1, 212 - 1, 53 - 1) = "0", OFFSET($A$1, 212 - 1, 54 - 1) = "1" ), 3, 4 ) ) )</f>
        <v>4</v>
      </c>
    </row>
    <row r="213" spans="52:55" x14ac:dyDescent="0.25">
      <c r="AZ213" s="7">
        <v>0.18347098540678453</v>
      </c>
      <c r="BA213" s="7" t="str">
        <f>"1"</f>
        <v>1</v>
      </c>
      <c r="BB213" t="str">
        <f ca="1">IF((OFFSET($A$1, 213 - 1, 52 - 1)) &gt;= (OFFSET($A$1, 84 - 1, 7 - 1)), "1","0")</f>
        <v>0</v>
      </c>
      <c r="BC213">
        <f ca="1" xml:space="preserve"> IF( AND( OFFSET($A$1, 213 - 1, 53 - 1) = "1", OFFSET($A$1, 213 - 1, 54 - 1) = "1" ), 1, IF( AND( OFFSET($A$1, 213 - 1, 53 - 1) = "1", OFFSET($A$1, 213 - 1, 54 - 1) = "0" ), 2, IF( AND( OFFSET($A$1, 213 - 1, 53 - 1) = "0", OFFSET($A$1, 213 - 1, 54 - 1) = "1" ), 3, 4 ) ) )</f>
        <v>2</v>
      </c>
    </row>
    <row r="214" spans="52:55" x14ac:dyDescent="0.25">
      <c r="AZ214" s="7">
        <v>0.14346629027751395</v>
      </c>
      <c r="BA214" s="7" t="str">
        <f>"0"</f>
        <v>0</v>
      </c>
      <c r="BB214" t="str">
        <f ca="1">IF((OFFSET($A$1, 214 - 1, 52 - 1)) &gt;= (OFFSET($A$1, 84 - 1, 7 - 1)), "1","0")</f>
        <v>0</v>
      </c>
      <c r="BC214">
        <f ca="1" xml:space="preserve"> IF( AND( OFFSET($A$1, 214 - 1, 53 - 1) = "1", OFFSET($A$1, 214 - 1, 54 - 1) = "1" ), 1, IF( AND( OFFSET($A$1, 214 - 1, 53 - 1) = "1", OFFSET($A$1, 214 - 1, 54 - 1) = "0" ), 2, IF( AND( OFFSET($A$1, 214 - 1, 53 - 1) = "0", OFFSET($A$1, 214 - 1, 54 - 1) = "1" ), 3, 4 ) ) )</f>
        <v>4</v>
      </c>
    </row>
    <row r="215" spans="52:55" x14ac:dyDescent="0.25">
      <c r="AZ215" s="7">
        <v>0.11114136226475514</v>
      </c>
      <c r="BA215" s="7" t="str">
        <f>"0"</f>
        <v>0</v>
      </c>
      <c r="BB215" t="str">
        <f ca="1">IF((OFFSET($A$1, 215 - 1, 52 - 1)) &gt;= (OFFSET($A$1, 84 - 1, 7 - 1)), "1","0")</f>
        <v>0</v>
      </c>
      <c r="BC215">
        <f ca="1" xml:space="preserve"> IF( AND( OFFSET($A$1, 215 - 1, 53 - 1) = "1", OFFSET($A$1, 215 - 1, 54 - 1) = "1" ), 1, IF( AND( OFFSET($A$1, 215 - 1, 53 - 1) = "1", OFFSET($A$1, 215 - 1, 54 - 1) = "0" ), 2, IF( AND( OFFSET($A$1, 215 - 1, 53 - 1) = "0", OFFSET($A$1, 215 - 1, 54 - 1) = "1" ), 3, 4 ) ) )</f>
        <v>4</v>
      </c>
    </row>
    <row r="216" spans="52:55" x14ac:dyDescent="0.25">
      <c r="AZ216" s="7">
        <v>0.20762215936465331</v>
      </c>
      <c r="BA216" s="7" t="str">
        <f>"0"</f>
        <v>0</v>
      </c>
      <c r="BB216" t="str">
        <f ca="1">IF((OFFSET($A$1, 216 - 1, 52 - 1)) &gt;= (OFFSET($A$1, 84 - 1, 7 - 1)), "1","0")</f>
        <v>0</v>
      </c>
      <c r="BC216">
        <f ca="1" xml:space="preserve"> IF( AND( OFFSET($A$1, 216 - 1, 53 - 1) = "1", OFFSET($A$1, 216 - 1, 54 - 1) = "1" ), 1, IF( AND( OFFSET($A$1, 216 - 1, 53 - 1) = "1", OFFSET($A$1, 216 - 1, 54 - 1) = "0" ), 2, IF( AND( OFFSET($A$1, 216 - 1, 53 - 1) = "0", OFFSET($A$1, 216 - 1, 54 - 1) = "1" ), 3, 4 ) ) )</f>
        <v>4</v>
      </c>
    </row>
    <row r="217" spans="52:55" x14ac:dyDescent="0.25">
      <c r="AZ217" s="7">
        <v>0.10928720751202023</v>
      </c>
      <c r="BA217" s="7" t="str">
        <f>"0"</f>
        <v>0</v>
      </c>
      <c r="BB217" t="str">
        <f ca="1">IF((OFFSET($A$1, 217 - 1, 52 - 1)) &gt;= (OFFSET($A$1, 84 - 1, 7 - 1)), "1","0")</f>
        <v>0</v>
      </c>
      <c r="BC217">
        <f ca="1" xml:space="preserve"> IF( AND( OFFSET($A$1, 217 - 1, 53 - 1) = "1", OFFSET($A$1, 217 - 1, 54 - 1) = "1" ), 1, IF( AND( OFFSET($A$1, 217 - 1, 53 - 1) = "1", OFFSET($A$1, 217 - 1, 54 - 1) = "0" ), 2, IF( AND( OFFSET($A$1, 217 - 1, 53 - 1) = "0", OFFSET($A$1, 217 - 1, 54 - 1) = "1" ), 3, 4 ) ) )</f>
        <v>4</v>
      </c>
    </row>
    <row r="218" spans="52:55" x14ac:dyDescent="0.25">
      <c r="AZ218" s="7">
        <v>0.19944955589309404</v>
      </c>
      <c r="BA218" s="7" t="str">
        <f>"0"</f>
        <v>0</v>
      </c>
      <c r="BB218" t="str">
        <f ca="1">IF((OFFSET($A$1, 218 - 1, 52 - 1)) &gt;= (OFFSET($A$1, 84 - 1, 7 - 1)), "1","0")</f>
        <v>0</v>
      </c>
      <c r="BC218">
        <f ca="1" xml:space="preserve"> IF( AND( OFFSET($A$1, 218 - 1, 53 - 1) = "1", OFFSET($A$1, 218 - 1, 54 - 1) = "1" ), 1, IF( AND( OFFSET($A$1, 218 - 1, 53 - 1) = "1", OFFSET($A$1, 218 - 1, 54 - 1) = "0" ), 2, IF( AND( OFFSET($A$1, 218 - 1, 53 - 1) = "0", OFFSET($A$1, 218 - 1, 54 - 1) = "1" ), 3, 4 ) ) )</f>
        <v>4</v>
      </c>
    </row>
    <row r="219" spans="52:55" x14ac:dyDescent="0.25">
      <c r="AZ219" s="7">
        <v>0.26666875937531981</v>
      </c>
      <c r="BA219" s="7" t="str">
        <f>"0"</f>
        <v>0</v>
      </c>
      <c r="BB219" t="str">
        <f ca="1">IF((OFFSET($A$1, 219 - 1, 52 - 1)) &gt;= (OFFSET($A$1, 84 - 1, 7 - 1)), "1","0")</f>
        <v>0</v>
      </c>
      <c r="BC219">
        <f ca="1" xml:space="preserve"> IF( AND( OFFSET($A$1, 219 - 1, 53 - 1) = "1", OFFSET($A$1, 219 - 1, 54 - 1) = "1" ), 1, IF( AND( OFFSET($A$1, 219 - 1, 53 - 1) = "1", OFFSET($A$1, 219 - 1, 54 - 1) = "0" ), 2, IF( AND( OFFSET($A$1, 219 - 1, 53 - 1) = "0", OFFSET($A$1, 219 - 1, 54 - 1) = "1" ), 3, 4 ) ) )</f>
        <v>4</v>
      </c>
    </row>
    <row r="220" spans="52:55" x14ac:dyDescent="0.25">
      <c r="AZ220" s="7">
        <v>0.17695386976663885</v>
      </c>
      <c r="BA220" s="7" t="str">
        <f>"0"</f>
        <v>0</v>
      </c>
      <c r="BB220" t="str">
        <f ca="1">IF((OFFSET($A$1, 220 - 1, 52 - 1)) &gt;= (OFFSET($A$1, 84 - 1, 7 - 1)), "1","0")</f>
        <v>0</v>
      </c>
      <c r="BC220">
        <f ca="1" xml:space="preserve"> IF( AND( OFFSET($A$1, 220 - 1, 53 - 1) = "1", OFFSET($A$1, 220 - 1, 54 - 1) = "1" ), 1, IF( AND( OFFSET($A$1, 220 - 1, 53 - 1) = "1", OFFSET($A$1, 220 - 1, 54 - 1) = "0" ), 2, IF( AND( OFFSET($A$1, 220 - 1, 53 - 1) = "0", OFFSET($A$1, 220 - 1, 54 - 1) = "1" ), 3, 4 ) ) )</f>
        <v>4</v>
      </c>
    </row>
    <row r="221" spans="52:55" x14ac:dyDescent="0.25">
      <c r="AZ221" s="7">
        <v>0.15383138937972815</v>
      </c>
      <c r="BA221" s="7" t="str">
        <f>"0"</f>
        <v>0</v>
      </c>
      <c r="BB221" t="str">
        <f ca="1">IF((OFFSET($A$1, 221 - 1, 52 - 1)) &gt;= (OFFSET($A$1, 84 - 1, 7 - 1)), "1","0")</f>
        <v>0</v>
      </c>
      <c r="BC221">
        <f ca="1" xml:space="preserve"> IF( AND( OFFSET($A$1, 221 - 1, 53 - 1) = "1", OFFSET($A$1, 221 - 1, 54 - 1) = "1" ), 1, IF( AND( OFFSET($A$1, 221 - 1, 53 - 1) = "1", OFFSET($A$1, 221 - 1, 54 - 1) = "0" ), 2, IF( AND( OFFSET($A$1, 221 - 1, 53 - 1) = "0", OFFSET($A$1, 221 - 1, 54 - 1) = "1" ), 3, 4 ) ) )</f>
        <v>4</v>
      </c>
    </row>
    <row r="222" spans="52:55" x14ac:dyDescent="0.25">
      <c r="AZ222" s="7">
        <v>0.24044443221879749</v>
      </c>
      <c r="BA222" s="7" t="str">
        <f>"0"</f>
        <v>0</v>
      </c>
      <c r="BB222" t="str">
        <f ca="1">IF((OFFSET($A$1, 222 - 1, 52 - 1)) &gt;= (OFFSET($A$1, 84 - 1, 7 - 1)), "1","0")</f>
        <v>0</v>
      </c>
      <c r="BC222">
        <f ca="1" xml:space="preserve"> IF( AND( OFFSET($A$1, 222 - 1, 53 - 1) = "1", OFFSET($A$1, 222 - 1, 54 - 1) = "1" ), 1, IF( AND( OFFSET($A$1, 222 - 1, 53 - 1) = "1", OFFSET($A$1, 222 - 1, 54 - 1) = "0" ), 2, IF( AND( OFFSET($A$1, 222 - 1, 53 - 1) = "0", OFFSET($A$1, 222 - 1, 54 - 1) = "1" ), 3, 4 ) ) )</f>
        <v>4</v>
      </c>
    </row>
    <row r="223" spans="52:55" x14ac:dyDescent="0.25">
      <c r="AZ223" s="7">
        <v>0.14039616575427025</v>
      </c>
      <c r="BA223" s="7" t="str">
        <f>"0"</f>
        <v>0</v>
      </c>
      <c r="BB223" t="str">
        <f ca="1">IF((OFFSET($A$1, 223 - 1, 52 - 1)) &gt;= (OFFSET($A$1, 84 - 1, 7 - 1)), "1","0")</f>
        <v>0</v>
      </c>
      <c r="BC223">
        <f ca="1" xml:space="preserve"> IF( AND( OFFSET($A$1, 223 - 1, 53 - 1) = "1", OFFSET($A$1, 223 - 1, 54 - 1) = "1" ), 1, IF( AND( OFFSET($A$1, 223 - 1, 53 - 1) = "1", OFFSET($A$1, 223 - 1, 54 - 1) = "0" ), 2, IF( AND( OFFSET($A$1, 223 - 1, 53 - 1) = "0", OFFSET($A$1, 223 - 1, 54 - 1) = "1" ), 3, 4 ) ) )</f>
        <v>4</v>
      </c>
    </row>
    <row r="224" spans="52:55" x14ac:dyDescent="0.25">
      <c r="AZ224" s="7">
        <v>0.21992266175502811</v>
      </c>
      <c r="BA224" s="7" t="str">
        <f>"0"</f>
        <v>0</v>
      </c>
      <c r="BB224" t="str">
        <f ca="1">IF((OFFSET($A$1, 224 - 1, 52 - 1)) &gt;= (OFFSET($A$1, 84 - 1, 7 - 1)), "1","0")</f>
        <v>0</v>
      </c>
      <c r="BC224">
        <f ca="1" xml:space="preserve"> IF( AND( OFFSET($A$1, 224 - 1, 53 - 1) = "1", OFFSET($A$1, 224 - 1, 54 - 1) = "1" ), 1, IF( AND( OFFSET($A$1, 224 - 1, 53 - 1) = "1", OFFSET($A$1, 224 - 1, 54 - 1) = "0" ), 2, IF( AND( OFFSET($A$1, 224 - 1, 53 - 1) = "0", OFFSET($A$1, 224 - 1, 54 - 1) = "1" ), 3, 4 ) ) )</f>
        <v>4</v>
      </c>
    </row>
    <row r="225" spans="52:55" x14ac:dyDescent="0.25">
      <c r="AZ225" s="7">
        <v>0.23247975053334097</v>
      </c>
      <c r="BA225" s="7" t="str">
        <f>"0"</f>
        <v>0</v>
      </c>
      <c r="BB225" t="str">
        <f ca="1">IF((OFFSET($A$1, 225 - 1, 52 - 1)) &gt;= (OFFSET($A$1, 84 - 1, 7 - 1)), "1","0")</f>
        <v>0</v>
      </c>
      <c r="BC225">
        <f ca="1" xml:space="preserve"> IF( AND( OFFSET($A$1, 225 - 1, 53 - 1) = "1", OFFSET($A$1, 225 - 1, 54 - 1) = "1" ), 1, IF( AND( OFFSET($A$1, 225 - 1, 53 - 1) = "1", OFFSET($A$1, 225 - 1, 54 - 1) = "0" ), 2, IF( AND( OFFSET($A$1, 225 - 1, 53 - 1) = "0", OFFSET($A$1, 225 - 1, 54 - 1) = "1" ), 3, 4 ) ) )</f>
        <v>4</v>
      </c>
    </row>
    <row r="226" spans="52:55" x14ac:dyDescent="0.25">
      <c r="AZ226" s="7">
        <v>0.21350402537227284</v>
      </c>
      <c r="BA226" s="7" t="str">
        <f>"0"</f>
        <v>0</v>
      </c>
      <c r="BB226" t="str">
        <f ca="1">IF((OFFSET($A$1, 226 - 1, 52 - 1)) &gt;= (OFFSET($A$1, 84 - 1, 7 - 1)), "1","0")</f>
        <v>0</v>
      </c>
      <c r="BC226">
        <f ca="1" xml:space="preserve"> IF( AND( OFFSET($A$1, 226 - 1, 53 - 1) = "1", OFFSET($A$1, 226 - 1, 54 - 1) = "1" ), 1, IF( AND( OFFSET($A$1, 226 - 1, 53 - 1) = "1", OFFSET($A$1, 226 - 1, 54 - 1) = "0" ), 2, IF( AND( OFFSET($A$1, 226 - 1, 53 - 1) = "0", OFFSET($A$1, 226 - 1, 54 - 1) = "1" ), 3, 4 ) ) )</f>
        <v>4</v>
      </c>
    </row>
    <row r="227" spans="52:55" x14ac:dyDescent="0.25">
      <c r="AZ227" s="7">
        <v>0.22033952806625404</v>
      </c>
      <c r="BA227" s="7" t="str">
        <f>"0"</f>
        <v>0</v>
      </c>
      <c r="BB227" t="str">
        <f ca="1">IF((OFFSET($A$1, 227 - 1, 52 - 1)) &gt;= (OFFSET($A$1, 84 - 1, 7 - 1)), "1","0")</f>
        <v>0</v>
      </c>
      <c r="BC227">
        <f ca="1" xml:space="preserve"> IF( AND( OFFSET($A$1, 227 - 1, 53 - 1) = "1", OFFSET($A$1, 227 - 1, 54 - 1) = "1" ), 1, IF( AND( OFFSET($A$1, 227 - 1, 53 - 1) = "1", OFFSET($A$1, 227 - 1, 54 - 1) = "0" ), 2, IF( AND( OFFSET($A$1, 227 - 1, 53 - 1) = "0", OFFSET($A$1, 227 - 1, 54 - 1) = "1" ), 3, 4 ) ) )</f>
        <v>4</v>
      </c>
    </row>
    <row r="228" spans="52:55" x14ac:dyDescent="0.25">
      <c r="AZ228" s="7">
        <v>0.27038249801385822</v>
      </c>
      <c r="BA228" s="7" t="str">
        <f>"0"</f>
        <v>0</v>
      </c>
      <c r="BB228" t="str">
        <f ca="1">IF((OFFSET($A$1, 228 - 1, 52 - 1)) &gt;= (OFFSET($A$1, 84 - 1, 7 - 1)), "1","0")</f>
        <v>0</v>
      </c>
      <c r="BC228">
        <f ca="1" xml:space="preserve"> IF( AND( OFFSET($A$1, 228 - 1, 53 - 1) = "1", OFFSET($A$1, 228 - 1, 54 - 1) = "1" ), 1, IF( AND( OFFSET($A$1, 228 - 1, 53 - 1) = "1", OFFSET($A$1, 228 - 1, 54 - 1) = "0" ), 2, IF( AND( OFFSET($A$1, 228 - 1, 53 - 1) = "0", OFFSET($A$1, 228 - 1, 54 - 1) = "1" ), 3, 4 ) ) )</f>
        <v>4</v>
      </c>
    </row>
    <row r="229" spans="52:55" x14ac:dyDescent="0.25">
      <c r="AZ229" s="7">
        <v>0.13888182263795479</v>
      </c>
      <c r="BA229" s="7" t="str">
        <f>"0"</f>
        <v>0</v>
      </c>
      <c r="BB229" t="str">
        <f ca="1">IF((OFFSET($A$1, 229 - 1, 52 - 1)) &gt;= (OFFSET($A$1, 84 - 1, 7 - 1)), "1","0")</f>
        <v>0</v>
      </c>
      <c r="BC229">
        <f ca="1" xml:space="preserve"> IF( AND( OFFSET($A$1, 229 - 1, 53 - 1) = "1", OFFSET($A$1, 229 - 1, 54 - 1) = "1" ), 1, IF( AND( OFFSET($A$1, 229 - 1, 53 - 1) = "1", OFFSET($A$1, 229 - 1, 54 - 1) = "0" ), 2, IF( AND( OFFSET($A$1, 229 - 1, 53 - 1) = "0", OFFSET($A$1, 229 - 1, 54 - 1) = "1" ), 3, 4 ) ) )</f>
        <v>4</v>
      </c>
    </row>
    <row r="230" spans="52:55" x14ac:dyDescent="0.25">
      <c r="AZ230" s="7">
        <v>0.18478254526686791</v>
      </c>
      <c r="BA230" s="7" t="str">
        <f>"0"</f>
        <v>0</v>
      </c>
      <c r="BB230" t="str">
        <f ca="1">IF((OFFSET($A$1, 230 - 1, 52 - 1)) &gt;= (OFFSET($A$1, 84 - 1, 7 - 1)), "1","0")</f>
        <v>0</v>
      </c>
      <c r="BC230">
        <f ca="1" xml:space="preserve"> IF( AND( OFFSET($A$1, 230 - 1, 53 - 1) = "1", OFFSET($A$1, 230 - 1, 54 - 1) = "1" ), 1, IF( AND( OFFSET($A$1, 230 - 1, 53 - 1) = "1", OFFSET($A$1, 230 - 1, 54 - 1) = "0" ), 2, IF( AND( OFFSET($A$1, 230 - 1, 53 - 1) = "0", OFFSET($A$1, 230 - 1, 54 - 1) = "1" ), 3, 4 ) ) )</f>
        <v>4</v>
      </c>
    </row>
    <row r="231" spans="52:55" x14ac:dyDescent="0.25">
      <c r="AZ231" s="7">
        <v>0.18668887575572407</v>
      </c>
      <c r="BA231" s="7" t="str">
        <f>"1"</f>
        <v>1</v>
      </c>
      <c r="BB231" t="str">
        <f ca="1">IF((OFFSET($A$1, 231 - 1, 52 - 1)) &gt;= (OFFSET($A$1, 84 - 1, 7 - 1)), "1","0")</f>
        <v>0</v>
      </c>
      <c r="BC231">
        <f ca="1" xml:space="preserve"> IF( AND( OFFSET($A$1, 231 - 1, 53 - 1) = "1", OFFSET($A$1, 231 - 1, 54 - 1) = "1" ), 1, IF( AND( OFFSET($A$1, 231 - 1, 53 - 1) = "1", OFFSET($A$1, 231 - 1, 54 - 1) = "0" ), 2, IF( AND( OFFSET($A$1, 231 - 1, 53 - 1) = "0", OFFSET($A$1, 231 - 1, 54 - 1) = "1" ), 3, 4 ) ) )</f>
        <v>2</v>
      </c>
    </row>
    <row r="232" spans="52:55" x14ac:dyDescent="0.25">
      <c r="AZ232" s="7">
        <v>0.14424250236698524</v>
      </c>
      <c r="BA232" s="7" t="str">
        <f>"0"</f>
        <v>0</v>
      </c>
      <c r="BB232" t="str">
        <f ca="1">IF((OFFSET($A$1, 232 - 1, 52 - 1)) &gt;= (OFFSET($A$1, 84 - 1, 7 - 1)), "1","0")</f>
        <v>0</v>
      </c>
      <c r="BC232">
        <f ca="1" xml:space="preserve"> IF( AND( OFFSET($A$1, 232 - 1, 53 - 1) = "1", OFFSET($A$1, 232 - 1, 54 - 1) = "1" ), 1, IF( AND( OFFSET($A$1, 232 - 1, 53 - 1) = "1", OFFSET($A$1, 232 - 1, 54 - 1) = "0" ), 2, IF( AND( OFFSET($A$1, 232 - 1, 53 - 1) = "0", OFFSET($A$1, 232 - 1, 54 - 1) = "1" ), 3, 4 ) ) )</f>
        <v>4</v>
      </c>
    </row>
    <row r="233" spans="52:55" x14ac:dyDescent="0.25">
      <c r="AZ233" s="7">
        <v>0.12628879786244532</v>
      </c>
      <c r="BA233" s="7" t="str">
        <f>"0"</f>
        <v>0</v>
      </c>
      <c r="BB233" t="str">
        <f ca="1">IF((OFFSET($A$1, 233 - 1, 52 - 1)) &gt;= (OFFSET($A$1, 84 - 1, 7 - 1)), "1","0")</f>
        <v>0</v>
      </c>
      <c r="BC233">
        <f ca="1" xml:space="preserve"> IF( AND( OFFSET($A$1, 233 - 1, 53 - 1) = "1", OFFSET($A$1, 233 - 1, 54 - 1) = "1" ), 1, IF( AND( OFFSET($A$1, 233 - 1, 53 - 1) = "1", OFFSET($A$1, 233 - 1, 54 - 1) = "0" ), 2, IF( AND( OFFSET($A$1, 233 - 1, 53 - 1) = "0", OFFSET($A$1, 233 - 1, 54 - 1) = "1" ), 3, 4 ) ) )</f>
        <v>4</v>
      </c>
    </row>
    <row r="234" spans="52:55" x14ac:dyDescent="0.25">
      <c r="AZ234" s="7">
        <v>0.20555609796884997</v>
      </c>
      <c r="BA234" s="7" t="str">
        <f>"0"</f>
        <v>0</v>
      </c>
      <c r="BB234" t="str">
        <f ca="1">IF((OFFSET($A$1, 234 - 1, 52 - 1)) &gt;= (OFFSET($A$1, 84 - 1, 7 - 1)), "1","0")</f>
        <v>0</v>
      </c>
      <c r="BC234">
        <f ca="1" xml:space="preserve"> IF( AND( OFFSET($A$1, 234 - 1, 53 - 1) = "1", OFFSET($A$1, 234 - 1, 54 - 1) = "1" ), 1, IF( AND( OFFSET($A$1, 234 - 1, 53 - 1) = "1", OFFSET($A$1, 234 - 1, 54 - 1) = "0" ), 2, IF( AND( OFFSET($A$1, 234 - 1, 53 - 1) = "0", OFFSET($A$1, 234 - 1, 54 - 1) = "1" ), 3, 4 ) ) )</f>
        <v>4</v>
      </c>
    </row>
    <row r="235" spans="52:55" x14ac:dyDescent="0.25">
      <c r="AZ235" s="7">
        <v>0.17241099806266111</v>
      </c>
      <c r="BA235" s="7" t="str">
        <f>"0"</f>
        <v>0</v>
      </c>
      <c r="BB235" t="str">
        <f ca="1">IF((OFFSET($A$1, 235 - 1, 52 - 1)) &gt;= (OFFSET($A$1, 84 - 1, 7 - 1)), "1","0")</f>
        <v>0</v>
      </c>
      <c r="BC235">
        <f ca="1" xml:space="preserve"> IF( AND( OFFSET($A$1, 235 - 1, 53 - 1) = "1", OFFSET($A$1, 235 - 1, 54 - 1) = "1" ), 1, IF( AND( OFFSET($A$1, 235 - 1, 53 - 1) = "1", OFFSET($A$1, 235 - 1, 54 - 1) = "0" ), 2, IF( AND( OFFSET($A$1, 235 - 1, 53 - 1) = "0", OFFSET($A$1, 235 - 1, 54 - 1) = "1" ), 3, 4 ) ) )</f>
        <v>4</v>
      </c>
    </row>
    <row r="236" spans="52:55" x14ac:dyDescent="0.25">
      <c r="AZ236" s="7">
        <v>0.17639033066452067</v>
      </c>
      <c r="BA236" s="7" t="str">
        <f>"0"</f>
        <v>0</v>
      </c>
      <c r="BB236" t="str">
        <f ca="1">IF((OFFSET($A$1, 236 - 1, 52 - 1)) &gt;= (OFFSET($A$1, 84 - 1, 7 - 1)), "1","0")</f>
        <v>0</v>
      </c>
      <c r="BC236">
        <f ca="1" xml:space="preserve"> IF( AND( OFFSET($A$1, 236 - 1, 53 - 1) = "1", OFFSET($A$1, 236 - 1, 54 - 1) = "1" ), 1, IF( AND( OFFSET($A$1, 236 - 1, 53 - 1) = "1", OFFSET($A$1, 236 - 1, 54 - 1) = "0" ), 2, IF( AND( OFFSET($A$1, 236 - 1, 53 - 1) = "0", OFFSET($A$1, 236 - 1, 54 - 1) = "1" ), 3, 4 ) ) )</f>
        <v>4</v>
      </c>
    </row>
    <row r="237" spans="52:55" x14ac:dyDescent="0.25">
      <c r="AZ237" s="7">
        <v>0.25572414996450488</v>
      </c>
      <c r="BA237" s="7" t="str">
        <f>"0"</f>
        <v>0</v>
      </c>
      <c r="BB237" t="str">
        <f ca="1">IF((OFFSET($A$1, 237 - 1, 52 - 1)) &gt;= (OFFSET($A$1, 84 - 1, 7 - 1)), "1","0")</f>
        <v>0</v>
      </c>
      <c r="BC237">
        <f ca="1" xml:space="preserve"> IF( AND( OFFSET($A$1, 237 - 1, 53 - 1) = "1", OFFSET($A$1, 237 - 1, 54 - 1) = "1" ), 1, IF( AND( OFFSET($A$1, 237 - 1, 53 - 1) = "1", OFFSET($A$1, 237 - 1, 54 - 1) = "0" ), 2, IF( AND( OFFSET($A$1, 237 - 1, 53 - 1) = "0", OFFSET($A$1, 237 - 1, 54 - 1) = "1" ), 3, 4 ) ) )</f>
        <v>4</v>
      </c>
    </row>
    <row r="238" spans="52:55" x14ac:dyDescent="0.25">
      <c r="AZ238" s="7">
        <v>0.20515984102163715</v>
      </c>
      <c r="BA238" s="7" t="str">
        <f>"0"</f>
        <v>0</v>
      </c>
      <c r="BB238" t="str">
        <f ca="1">IF((OFFSET($A$1, 238 - 1, 52 - 1)) &gt;= (OFFSET($A$1, 84 - 1, 7 - 1)), "1","0")</f>
        <v>0</v>
      </c>
      <c r="BC238">
        <f ca="1" xml:space="preserve"> IF( AND( OFFSET($A$1, 238 - 1, 53 - 1) = "1", OFFSET($A$1, 238 - 1, 54 - 1) = "1" ), 1, IF( AND( OFFSET($A$1, 238 - 1, 53 - 1) = "1", OFFSET($A$1, 238 - 1, 54 - 1) = "0" ), 2, IF( AND( OFFSET($A$1, 238 - 1, 53 - 1) = "0", OFFSET($A$1, 238 - 1, 54 - 1) = "1" ), 3, 4 ) ) )</f>
        <v>4</v>
      </c>
    </row>
    <row r="239" spans="52:55" x14ac:dyDescent="0.25">
      <c r="AZ239" s="7">
        <v>0.1934802426337725</v>
      </c>
      <c r="BA239" s="7" t="str">
        <f>"0"</f>
        <v>0</v>
      </c>
      <c r="BB239" t="str">
        <f ca="1">IF((OFFSET($A$1, 239 - 1, 52 - 1)) &gt;= (OFFSET($A$1, 84 - 1, 7 - 1)), "1","0")</f>
        <v>0</v>
      </c>
      <c r="BC239">
        <f ca="1" xml:space="preserve"> IF( AND( OFFSET($A$1, 239 - 1, 53 - 1) = "1", OFFSET($A$1, 239 - 1, 54 - 1) = "1" ), 1, IF( AND( OFFSET($A$1, 239 - 1, 53 - 1) = "1", OFFSET($A$1, 239 - 1, 54 - 1) = "0" ), 2, IF( AND( OFFSET($A$1, 239 - 1, 53 - 1) = "0", OFFSET($A$1, 239 - 1, 54 - 1) = "1" ), 3, 4 ) ) )</f>
        <v>4</v>
      </c>
    </row>
    <row r="240" spans="52:55" x14ac:dyDescent="0.25">
      <c r="AZ240" s="7">
        <v>0.14346629027751395</v>
      </c>
      <c r="BA240" s="7" t="str">
        <f>"0"</f>
        <v>0</v>
      </c>
      <c r="BB240" t="str">
        <f ca="1">IF((OFFSET($A$1, 240 - 1, 52 - 1)) &gt;= (OFFSET($A$1, 84 - 1, 7 - 1)), "1","0")</f>
        <v>0</v>
      </c>
      <c r="BC240">
        <f ca="1" xml:space="preserve"> IF( AND( OFFSET($A$1, 240 - 1, 53 - 1) = "1", OFFSET($A$1, 240 - 1, 54 - 1) = "1" ), 1, IF( AND( OFFSET($A$1, 240 - 1, 53 - 1) = "1", OFFSET($A$1, 240 - 1, 54 - 1) = "0" ), 2, IF( AND( OFFSET($A$1, 240 - 1, 53 - 1) = "0", OFFSET($A$1, 240 - 1, 54 - 1) = "1" ), 3, 4 ) ) )</f>
        <v>4</v>
      </c>
    </row>
    <row r="241" spans="52:55" x14ac:dyDescent="0.25">
      <c r="AZ241" s="7">
        <v>0.27038249801385822</v>
      </c>
      <c r="BA241" s="7" t="str">
        <f>"0"</f>
        <v>0</v>
      </c>
      <c r="BB241" t="str">
        <f ca="1">IF((OFFSET($A$1, 241 - 1, 52 - 1)) &gt;= (OFFSET($A$1, 84 - 1, 7 - 1)), "1","0")</f>
        <v>0</v>
      </c>
      <c r="BC241">
        <f ca="1" xml:space="preserve"> IF( AND( OFFSET($A$1, 241 - 1, 53 - 1) = "1", OFFSET($A$1, 241 - 1, 54 - 1) = "1" ), 1, IF( AND( OFFSET($A$1, 241 - 1, 53 - 1) = "1", OFFSET($A$1, 241 - 1, 54 - 1) = "0" ), 2, IF( AND( OFFSET($A$1, 241 - 1, 53 - 1) = "0", OFFSET($A$1, 241 - 1, 54 - 1) = "1" ), 3, 4 ) ) )</f>
        <v>4</v>
      </c>
    </row>
    <row r="242" spans="52:55" x14ac:dyDescent="0.25">
      <c r="AZ242" s="7">
        <v>0.19054691292786108</v>
      </c>
      <c r="BA242" s="7" t="str">
        <f>"0"</f>
        <v>0</v>
      </c>
      <c r="BB242" t="str">
        <f ca="1">IF((OFFSET($A$1, 242 - 1, 52 - 1)) &gt;= (OFFSET($A$1, 84 - 1, 7 - 1)), "1","0")</f>
        <v>0</v>
      </c>
      <c r="BC242">
        <f ca="1" xml:space="preserve"> IF( AND( OFFSET($A$1, 242 - 1, 53 - 1) = "1", OFFSET($A$1, 242 - 1, 54 - 1) = "1" ), 1, IF( AND( OFFSET($A$1, 242 - 1, 53 - 1) = "1", OFFSET($A$1, 242 - 1, 54 - 1) = "0" ), 2, IF( AND( OFFSET($A$1, 242 - 1, 53 - 1) = "0", OFFSET($A$1, 242 - 1, 54 - 1) = "1" ), 3, 4 ) ) )</f>
        <v>4</v>
      </c>
    </row>
    <row r="243" spans="52:55" x14ac:dyDescent="0.25">
      <c r="AZ243" s="7">
        <v>0.27790687987271895</v>
      </c>
      <c r="BA243" s="7" t="str">
        <f>"0"</f>
        <v>0</v>
      </c>
      <c r="BB243" t="str">
        <f ca="1">IF((OFFSET($A$1, 243 - 1, 52 - 1)) &gt;= (OFFSET($A$1, 84 - 1, 7 - 1)), "1","0")</f>
        <v>0</v>
      </c>
      <c r="BC243">
        <f ca="1" xml:space="preserve"> IF( AND( OFFSET($A$1, 243 - 1, 53 - 1) = "1", OFFSET($A$1, 243 - 1, 54 - 1) = "1" ), 1, IF( AND( OFFSET($A$1, 243 - 1, 53 - 1) = "1", OFFSET($A$1, 243 - 1, 54 - 1) = "0" ), 2, IF( AND( OFFSET($A$1, 243 - 1, 53 - 1) = "0", OFFSET($A$1, 243 - 1, 54 - 1) = "1" ), 3, 4 ) ) )</f>
        <v>4</v>
      </c>
    </row>
    <row r="244" spans="52:55" x14ac:dyDescent="0.25">
      <c r="AZ244" s="7">
        <v>0.18478254526686791</v>
      </c>
      <c r="BA244" s="7" t="str">
        <f>"0"</f>
        <v>0</v>
      </c>
      <c r="BB244" t="str">
        <f ca="1">IF((OFFSET($A$1, 244 - 1, 52 - 1)) &gt;= (OFFSET($A$1, 84 - 1, 7 - 1)), "1","0")</f>
        <v>0</v>
      </c>
      <c r="BC244">
        <f ca="1" xml:space="preserve"> IF( AND( OFFSET($A$1, 244 - 1, 53 - 1) = "1", OFFSET($A$1, 244 - 1, 54 - 1) = "1" ), 1, IF( AND( OFFSET($A$1, 244 - 1, 53 - 1) = "1", OFFSET($A$1, 244 - 1, 54 - 1) = "0" ), 2, IF( AND( OFFSET($A$1, 244 - 1, 53 - 1) = "0", OFFSET($A$1, 244 - 1, 54 - 1) = "1" ), 3, 4 ) ) )</f>
        <v>4</v>
      </c>
    </row>
    <row r="245" spans="52:55" x14ac:dyDescent="0.25">
      <c r="AZ245" s="7">
        <v>0.21139504833641773</v>
      </c>
      <c r="BA245" s="7" t="str">
        <f>"1"</f>
        <v>1</v>
      </c>
      <c r="BB245" t="str">
        <f ca="1">IF((OFFSET($A$1, 245 - 1, 52 - 1)) &gt;= (OFFSET($A$1, 84 - 1, 7 - 1)), "1","0")</f>
        <v>0</v>
      </c>
      <c r="BC245">
        <f ca="1" xml:space="preserve"> IF( AND( OFFSET($A$1, 245 - 1, 53 - 1) = "1", OFFSET($A$1, 245 - 1, 54 - 1) = "1" ), 1, IF( AND( OFFSET($A$1, 245 - 1, 53 - 1) = "1", OFFSET($A$1, 245 - 1, 54 - 1) = "0" ), 2, IF( AND( OFFSET($A$1, 245 - 1, 53 - 1) = "0", OFFSET($A$1, 245 - 1, 54 - 1) = "1" ), 3, 4 ) ) )</f>
        <v>2</v>
      </c>
    </row>
    <row r="246" spans="52:55" x14ac:dyDescent="0.25">
      <c r="AZ246" s="7">
        <v>0.23700832189463189</v>
      </c>
      <c r="BA246" s="7" t="str">
        <f>"0"</f>
        <v>0</v>
      </c>
      <c r="BB246" t="str">
        <f ca="1">IF((OFFSET($A$1, 246 - 1, 52 - 1)) &gt;= (OFFSET($A$1, 84 - 1, 7 - 1)), "1","0")</f>
        <v>0</v>
      </c>
      <c r="BC246">
        <f ca="1" xml:space="preserve"> IF( AND( OFFSET($A$1, 246 - 1, 53 - 1) = "1", OFFSET($A$1, 246 - 1, 54 - 1) = "1" ), 1, IF( AND( OFFSET($A$1, 246 - 1, 53 - 1) = "1", OFFSET($A$1, 246 - 1, 54 - 1) = "0" ), 2, IF( AND( OFFSET($A$1, 246 - 1, 53 - 1) = "0", OFFSET($A$1, 246 - 1, 54 - 1) = "1" ), 3, 4 ) ) )</f>
        <v>4</v>
      </c>
    </row>
    <row r="247" spans="52:55" x14ac:dyDescent="0.25">
      <c r="AZ247" s="7">
        <v>0.26790305887767224</v>
      </c>
      <c r="BA247" s="7" t="str">
        <f>"0"</f>
        <v>0</v>
      </c>
      <c r="BB247" t="str">
        <f ca="1">IF((OFFSET($A$1, 247 - 1, 52 - 1)) &gt;= (OFFSET($A$1, 84 - 1, 7 - 1)), "1","0")</f>
        <v>0</v>
      </c>
      <c r="BC247">
        <f ca="1" xml:space="preserve"> IF( AND( OFFSET($A$1, 247 - 1, 53 - 1) = "1", OFFSET($A$1, 247 - 1, 54 - 1) = "1" ), 1, IF( AND( OFFSET($A$1, 247 - 1, 53 - 1) = "1", OFFSET($A$1, 247 - 1, 54 - 1) = "0" ), 2, IF( AND( OFFSET($A$1, 247 - 1, 53 - 1) = "0", OFFSET($A$1, 247 - 1, 54 - 1) = "1" ), 3, 4 ) ) )</f>
        <v>4</v>
      </c>
    </row>
    <row r="248" spans="52:55" x14ac:dyDescent="0.25">
      <c r="AZ248" s="7">
        <v>0.20826024836499749</v>
      </c>
      <c r="BA248" s="7" t="str">
        <f>"1"</f>
        <v>1</v>
      </c>
      <c r="BB248" t="str">
        <f ca="1">IF((OFFSET($A$1, 248 - 1, 52 - 1)) &gt;= (OFFSET($A$1, 84 - 1, 7 - 1)), "1","0")</f>
        <v>0</v>
      </c>
      <c r="BC248">
        <f ca="1" xml:space="preserve"> IF( AND( OFFSET($A$1, 248 - 1, 53 - 1) = "1", OFFSET($A$1, 248 - 1, 54 - 1) = "1" ), 1, IF( AND( OFFSET($A$1, 248 - 1, 53 - 1) = "1", OFFSET($A$1, 248 - 1, 54 - 1) = "0" ), 2, IF( AND( OFFSET($A$1, 248 - 1, 53 - 1) = "0", OFFSET($A$1, 248 - 1, 54 - 1) = "1" ), 3, 4 ) ) )</f>
        <v>2</v>
      </c>
    </row>
    <row r="249" spans="52:55" x14ac:dyDescent="0.25">
      <c r="AZ249" s="7">
        <v>0.18573382262887414</v>
      </c>
      <c r="BA249" s="7" t="str">
        <f>"1"</f>
        <v>1</v>
      </c>
      <c r="BB249" t="str">
        <f ca="1">IF((OFFSET($A$1, 249 - 1, 52 - 1)) &gt;= (OFFSET($A$1, 84 - 1, 7 - 1)), "1","0")</f>
        <v>0</v>
      </c>
      <c r="BC249">
        <f ca="1" xml:space="preserve"> IF( AND( OFFSET($A$1, 249 - 1, 53 - 1) = "1", OFFSET($A$1, 249 - 1, 54 - 1) = "1" ), 1, IF( AND( OFFSET($A$1, 249 - 1, 53 - 1) = "1", OFFSET($A$1, 249 - 1, 54 - 1) = "0" ), 2, IF( AND( OFFSET($A$1, 249 - 1, 53 - 1) = "0", OFFSET($A$1, 249 - 1, 54 - 1) = "1" ), 3, 4 ) ) )</f>
        <v>2</v>
      </c>
    </row>
    <row r="250" spans="52:55" x14ac:dyDescent="0.25">
      <c r="AZ250" s="7">
        <v>0.19644776968561939</v>
      </c>
      <c r="BA250" s="7" t="str">
        <f>"0"</f>
        <v>0</v>
      </c>
      <c r="BB250" t="str">
        <f ca="1">IF((OFFSET($A$1, 250 - 1, 52 - 1)) &gt;= (OFFSET($A$1, 84 - 1, 7 - 1)), "1","0")</f>
        <v>0</v>
      </c>
      <c r="BC250">
        <f ca="1" xml:space="preserve"> IF( AND( OFFSET($A$1, 250 - 1, 53 - 1) = "1", OFFSET($A$1, 250 - 1, 54 - 1) = "1" ), 1, IF( AND( OFFSET($A$1, 250 - 1, 53 - 1) = "1", OFFSET($A$1, 250 - 1, 54 - 1) = "0" ), 2, IF( AND( OFFSET($A$1, 250 - 1, 53 - 1) = "0", OFFSET($A$1, 250 - 1, 54 - 1) = "1" ), 3, 4 ) ) )</f>
        <v>4</v>
      </c>
    </row>
    <row r="251" spans="52:55" x14ac:dyDescent="0.25">
      <c r="AZ251" s="7">
        <v>0.1806554139409112</v>
      </c>
      <c r="BA251" s="7" t="str">
        <f>"0"</f>
        <v>0</v>
      </c>
      <c r="BB251" t="str">
        <f ca="1">IF((OFFSET($A$1, 251 - 1, 52 - 1)) &gt;= (OFFSET($A$1, 84 - 1, 7 - 1)), "1","0")</f>
        <v>0</v>
      </c>
      <c r="BC251">
        <f ca="1" xml:space="preserve"> IF( AND( OFFSET($A$1, 251 - 1, 53 - 1) = "1", OFFSET($A$1, 251 - 1, 54 - 1) = "1" ), 1, IF( AND( OFFSET($A$1, 251 - 1, 53 - 1) = "1", OFFSET($A$1, 251 - 1, 54 - 1) = "0" ), 2, IF( AND( OFFSET($A$1, 251 - 1, 53 - 1) = "0", OFFSET($A$1, 251 - 1, 54 - 1) = "1" ), 3, 4 ) ) )</f>
        <v>4</v>
      </c>
    </row>
    <row r="252" spans="52:55" x14ac:dyDescent="0.25">
      <c r="AZ252" s="7">
        <v>0.23814991919855449</v>
      </c>
      <c r="BA252" s="7" t="str">
        <f>"0"</f>
        <v>0</v>
      </c>
      <c r="BB252" t="str">
        <f ca="1">IF((OFFSET($A$1, 252 - 1, 52 - 1)) &gt;= (OFFSET($A$1, 84 - 1, 7 - 1)), "1","0")</f>
        <v>0</v>
      </c>
      <c r="BC252">
        <f ca="1" xml:space="preserve"> IF( AND( OFFSET($A$1, 252 - 1, 53 - 1) = "1", OFFSET($A$1, 252 - 1, 54 - 1) = "1" ), 1, IF( AND( OFFSET($A$1, 252 - 1, 53 - 1) = "1", OFFSET($A$1, 252 - 1, 54 - 1) = "0" ), 2, IF( AND( OFFSET($A$1, 252 - 1, 53 - 1) = "0", OFFSET($A$1, 252 - 1, 54 - 1) = "1" ), 3, 4 ) ) )</f>
        <v>4</v>
      </c>
    </row>
    <row r="253" spans="52:55" x14ac:dyDescent="0.25">
      <c r="AZ253" s="7">
        <v>0.12285248130058632</v>
      </c>
      <c r="BA253" s="7" t="str">
        <f>"0"</f>
        <v>0</v>
      </c>
      <c r="BB253" t="str">
        <f ca="1">IF((OFFSET($A$1, 253 - 1, 52 - 1)) &gt;= (OFFSET($A$1, 84 - 1, 7 - 1)), "1","0")</f>
        <v>0</v>
      </c>
      <c r="BC253">
        <f ca="1" xml:space="preserve"> IF( AND( OFFSET($A$1, 253 - 1, 53 - 1) = "1", OFFSET($A$1, 253 - 1, 54 - 1) = "1" ), 1, IF( AND( OFFSET($A$1, 253 - 1, 53 - 1) = "1", OFFSET($A$1, 253 - 1, 54 - 1) = "0" ), 2, IF( AND( OFFSET($A$1, 253 - 1, 53 - 1) = "0", OFFSET($A$1, 253 - 1, 54 - 1) = "1" ), 3, 4 ) ) )</f>
        <v>4</v>
      </c>
    </row>
    <row r="254" spans="52:55" x14ac:dyDescent="0.25">
      <c r="AZ254" s="7">
        <v>0.16050953313770874</v>
      </c>
      <c r="BA254" s="7" t="str">
        <f>"0"</f>
        <v>0</v>
      </c>
      <c r="BB254" t="str">
        <f ca="1">IF((OFFSET($A$1, 254 - 1, 52 - 1)) &gt;= (OFFSET($A$1, 84 - 1, 7 - 1)), "1","0")</f>
        <v>0</v>
      </c>
      <c r="BC254">
        <f ca="1" xml:space="preserve"> IF( AND( OFFSET($A$1, 254 - 1, 53 - 1) = "1", OFFSET($A$1, 254 - 1, 54 - 1) = "1" ), 1, IF( AND( OFFSET($A$1, 254 - 1, 53 - 1) = "1", OFFSET($A$1, 254 - 1, 54 - 1) = "0" ), 2, IF( AND( OFFSET($A$1, 254 - 1, 53 - 1) = "0", OFFSET($A$1, 254 - 1, 54 - 1) = "1" ), 3, 4 ) ) )</f>
        <v>4</v>
      </c>
    </row>
    <row r="255" spans="52:55" x14ac:dyDescent="0.25">
      <c r="AZ255" s="7">
        <v>0.17456658991828952</v>
      </c>
      <c r="BA255" s="7" t="str">
        <f>"1"</f>
        <v>1</v>
      </c>
      <c r="BB255" t="str">
        <f ca="1">IF((OFFSET($A$1, 255 - 1, 52 - 1)) &gt;= (OFFSET($A$1, 84 - 1, 7 - 1)), "1","0")</f>
        <v>0</v>
      </c>
      <c r="BC255">
        <f ca="1" xml:space="preserve"> IF( AND( OFFSET($A$1, 255 - 1, 53 - 1) = "1", OFFSET($A$1, 255 - 1, 54 - 1) = "1" ), 1, IF( AND( OFFSET($A$1, 255 - 1, 53 - 1) = "1", OFFSET($A$1, 255 - 1, 54 - 1) = "0" ), 2, IF( AND( OFFSET($A$1, 255 - 1, 53 - 1) = "0", OFFSET($A$1, 255 - 1, 54 - 1) = "1" ), 3, 4 ) ) )</f>
        <v>2</v>
      </c>
    </row>
    <row r="256" spans="52:55" x14ac:dyDescent="0.25">
      <c r="AZ256" s="7">
        <v>0.21285418930728234</v>
      </c>
      <c r="BA256" s="7" t="str">
        <f>"1"</f>
        <v>1</v>
      </c>
      <c r="BB256" t="str">
        <f ca="1">IF((OFFSET($A$1, 256 - 1, 52 - 1)) &gt;= (OFFSET($A$1, 84 - 1, 7 - 1)), "1","0")</f>
        <v>0</v>
      </c>
      <c r="BC256">
        <f ca="1" xml:space="preserve"> IF( AND( OFFSET($A$1, 256 - 1, 53 - 1) = "1", OFFSET($A$1, 256 - 1, 54 - 1) = "1" ), 1, IF( AND( OFFSET($A$1, 256 - 1, 53 - 1) = "1", OFFSET($A$1, 256 - 1, 54 - 1) = "0" ), 2, IF( AND( OFFSET($A$1, 256 - 1, 53 - 1) = "0", OFFSET($A$1, 256 - 1, 54 - 1) = "1" ), 3, 4 ) ) )</f>
        <v>2</v>
      </c>
    </row>
    <row r="257" spans="52:55" x14ac:dyDescent="0.25">
      <c r="AZ257" s="7">
        <v>0.15714160180604103</v>
      </c>
      <c r="BA257" s="7" t="str">
        <f>"0"</f>
        <v>0</v>
      </c>
      <c r="BB257" t="str">
        <f ca="1">IF((OFFSET($A$1, 257 - 1, 52 - 1)) &gt;= (OFFSET($A$1, 84 - 1, 7 - 1)), "1","0")</f>
        <v>0</v>
      </c>
      <c r="BC257">
        <f ca="1" xml:space="preserve"> IF( AND( OFFSET($A$1, 257 - 1, 53 - 1) = "1", OFFSET($A$1, 257 - 1, 54 - 1) = "1" ), 1, IF( AND( OFFSET($A$1, 257 - 1, 53 - 1) = "1", OFFSET($A$1, 257 - 1, 54 - 1) = "0" ), 2, IF( AND( OFFSET($A$1, 257 - 1, 53 - 1) = "0", OFFSET($A$1, 257 - 1, 54 - 1) = "1" ), 3, 4 ) ) )</f>
        <v>4</v>
      </c>
    </row>
    <row r="258" spans="52:55" x14ac:dyDescent="0.25">
      <c r="AZ258" s="7">
        <v>0.19644776968561939</v>
      </c>
      <c r="BA258" s="7" t="str">
        <f>"0"</f>
        <v>0</v>
      </c>
      <c r="BB258" t="str">
        <f ca="1">IF((OFFSET($A$1, 258 - 1, 52 - 1)) &gt;= (OFFSET($A$1, 84 - 1, 7 - 1)), "1","0")</f>
        <v>0</v>
      </c>
      <c r="BC258">
        <f ca="1" xml:space="preserve"> IF( AND( OFFSET($A$1, 258 - 1, 53 - 1) = "1", OFFSET($A$1, 258 - 1, 54 - 1) = "1" ), 1, IF( AND( OFFSET($A$1, 258 - 1, 53 - 1) = "1", OFFSET($A$1, 258 - 1, 54 - 1) = "0" ), 2, IF( AND( OFFSET($A$1, 258 - 1, 53 - 1) = "0", OFFSET($A$1, 258 - 1, 54 - 1) = "1" ), 3, 4 ) ) )</f>
        <v>4</v>
      </c>
    </row>
    <row r="259" spans="52:55" x14ac:dyDescent="0.25">
      <c r="AZ259" s="7">
        <v>0.1486657197971086</v>
      </c>
      <c r="BA259" s="7" t="str">
        <f>"0"</f>
        <v>0</v>
      </c>
      <c r="BB259" t="str">
        <f ca="1">IF((OFFSET($A$1, 259 - 1, 52 - 1)) &gt;= (OFFSET($A$1, 84 - 1, 7 - 1)), "1","0")</f>
        <v>0</v>
      </c>
      <c r="BC259">
        <f ca="1" xml:space="preserve"> IF( AND( OFFSET($A$1, 259 - 1, 53 - 1) = "1", OFFSET($A$1, 259 - 1, 54 - 1) = "1" ), 1, IF( AND( OFFSET($A$1, 259 - 1, 53 - 1) = "1", OFFSET($A$1, 259 - 1, 54 - 1) = "0" ), 2, IF( AND( OFFSET($A$1, 259 - 1, 53 - 1) = "0", OFFSET($A$1, 259 - 1, 54 - 1) = "1" ), 3, 4 ) ) )</f>
        <v>4</v>
      </c>
    </row>
    <row r="260" spans="52:55" x14ac:dyDescent="0.25">
      <c r="AZ260" s="7">
        <v>0.11883533831269907</v>
      </c>
      <c r="BA260" s="7" t="str">
        <f>"0"</f>
        <v>0</v>
      </c>
      <c r="BB260" t="str">
        <f ca="1">IF((OFFSET($A$1, 260 - 1, 52 - 1)) &gt;= (OFFSET($A$1, 84 - 1, 7 - 1)), "1","0")</f>
        <v>0</v>
      </c>
      <c r="BC260">
        <f ca="1" xml:space="preserve"> IF( AND( OFFSET($A$1, 260 - 1, 53 - 1) = "1", OFFSET($A$1, 260 - 1, 54 - 1) = "1" ), 1, IF( AND( OFFSET($A$1, 260 - 1, 53 - 1) = "1", OFFSET($A$1, 260 - 1, 54 - 1) = "0" ), 2, IF( AND( OFFSET($A$1, 260 - 1, 53 - 1) = "0", OFFSET($A$1, 260 - 1, 54 - 1) = "1" ), 3, 4 ) ) )</f>
        <v>4</v>
      </c>
    </row>
    <row r="261" spans="52:55" x14ac:dyDescent="0.25">
      <c r="AZ261" s="7">
        <v>0.165335205654428</v>
      </c>
      <c r="BA261" s="7" t="str">
        <f>"0"</f>
        <v>0</v>
      </c>
      <c r="BB261" t="str">
        <f ca="1">IF((OFFSET($A$1, 261 - 1, 52 - 1)) &gt;= (OFFSET($A$1, 84 - 1, 7 - 1)), "1","0")</f>
        <v>0</v>
      </c>
      <c r="BC261">
        <f ca="1" xml:space="preserve"> IF( AND( OFFSET($A$1, 261 - 1, 53 - 1) = "1", OFFSET($A$1, 261 - 1, 54 - 1) = "1" ), 1, IF( AND( OFFSET($A$1, 261 - 1, 53 - 1) = "1", OFFSET($A$1, 261 - 1, 54 - 1) = "0" ), 2, IF( AND( OFFSET($A$1, 261 - 1, 53 - 1) = "0", OFFSET($A$1, 261 - 1, 54 - 1) = "1" ), 3, 4 ) ) )</f>
        <v>4</v>
      </c>
    </row>
    <row r="262" spans="52:55" x14ac:dyDescent="0.25">
      <c r="AZ262" s="7">
        <v>0.23473646538289375</v>
      </c>
      <c r="BA262" s="7" t="str">
        <f>"0"</f>
        <v>0</v>
      </c>
      <c r="BB262" t="str">
        <f ca="1">IF((OFFSET($A$1, 262 - 1, 52 - 1)) &gt;= (OFFSET($A$1, 84 - 1, 7 - 1)), "1","0")</f>
        <v>0</v>
      </c>
      <c r="BC262">
        <f ca="1" xml:space="preserve"> IF( AND( OFFSET($A$1, 262 - 1, 53 - 1) = "1", OFFSET($A$1, 262 - 1, 54 - 1) = "1" ), 1, IF( AND( OFFSET($A$1, 262 - 1, 53 - 1) = "1", OFFSET($A$1, 262 - 1, 54 - 1) = "0" ), 2, IF( AND( OFFSET($A$1, 262 - 1, 53 - 1) = "0", OFFSET($A$1, 262 - 1, 54 - 1) = "1" ), 3, 4 ) ) )</f>
        <v>4</v>
      </c>
    </row>
    <row r="263" spans="52:55" x14ac:dyDescent="0.25">
      <c r="AZ263" s="7">
        <v>0.14580540026069436</v>
      </c>
      <c r="BA263" s="7" t="str">
        <f>"0"</f>
        <v>0</v>
      </c>
      <c r="BB263" t="str">
        <f ca="1">IF((OFFSET($A$1, 263 - 1, 52 - 1)) &gt;= (OFFSET($A$1, 84 - 1, 7 - 1)), "1","0")</f>
        <v>0</v>
      </c>
      <c r="BC263">
        <f ca="1" xml:space="preserve"> IF( AND( OFFSET($A$1, 263 - 1, 53 - 1) = "1", OFFSET($A$1, 263 - 1, 54 - 1) = "1" ), 1, IF( AND( OFFSET($A$1, 263 - 1, 53 - 1) = "1", OFFSET($A$1, 263 - 1, 54 - 1) = "0" ), 2, IF( AND( OFFSET($A$1, 263 - 1, 53 - 1) = "0", OFFSET($A$1, 263 - 1, 54 - 1) = "1" ), 3, 4 ) ) )</f>
        <v>4</v>
      </c>
    </row>
    <row r="264" spans="52:55" x14ac:dyDescent="0.25">
      <c r="AZ264" s="7">
        <v>0.16654356331094525</v>
      </c>
      <c r="BA264" s="7" t="str">
        <f>"0"</f>
        <v>0</v>
      </c>
      <c r="BB264" t="str">
        <f ca="1">IF((OFFSET($A$1, 264 - 1, 52 - 1)) &gt;= (OFFSET($A$1, 84 - 1, 7 - 1)), "1","0")</f>
        <v>0</v>
      </c>
      <c r="BC264">
        <f ca="1" xml:space="preserve"> IF( AND( OFFSET($A$1, 264 - 1, 53 - 1) = "1", OFFSET($A$1, 264 - 1, 54 - 1) = "1" ), 1, IF( AND( OFFSET($A$1, 264 - 1, 53 - 1) = "1", OFFSET($A$1, 264 - 1, 54 - 1) = "0" ), 2, IF( AND( OFFSET($A$1, 264 - 1, 53 - 1) = "0", OFFSET($A$1, 264 - 1, 54 - 1) = "1" ), 3, 4 ) ) )</f>
        <v>4</v>
      </c>
    </row>
    <row r="265" spans="52:55" x14ac:dyDescent="0.25">
      <c r="AZ265" s="7">
        <v>0.22801184951393688</v>
      </c>
      <c r="BA265" s="7" t="str">
        <f>"0"</f>
        <v>0</v>
      </c>
      <c r="BB265" t="str">
        <f ca="1">IF((OFFSET($A$1, 265 - 1, 52 - 1)) &gt;= (OFFSET($A$1, 84 - 1, 7 - 1)), "1","0")</f>
        <v>0</v>
      </c>
      <c r="BC265">
        <f ca="1" xml:space="preserve"> IF( AND( OFFSET($A$1, 265 - 1, 53 - 1) = "1", OFFSET($A$1, 265 - 1, 54 - 1) = "1" ), 1, IF( AND( OFFSET($A$1, 265 - 1, 53 - 1) = "1", OFFSET($A$1, 265 - 1, 54 - 1) = "0" ), 2, IF( AND( OFFSET($A$1, 265 - 1, 53 - 1) = "0", OFFSET($A$1, 265 - 1, 54 - 1) = "1" ), 3, 4 ) ) )</f>
        <v>4</v>
      </c>
    </row>
    <row r="266" spans="52:55" x14ac:dyDescent="0.25">
      <c r="AZ266" s="7">
        <v>0.14738231597791762</v>
      </c>
      <c r="BA266" s="7" t="str">
        <f>"0"</f>
        <v>0</v>
      </c>
      <c r="BB266" t="str">
        <f ca="1">IF((OFFSET($A$1, 266 - 1, 52 - 1)) &gt;= (OFFSET($A$1, 84 - 1, 7 - 1)), "1","0")</f>
        <v>0</v>
      </c>
      <c r="BC266">
        <f ca="1" xml:space="preserve"> IF( AND( OFFSET($A$1, 266 - 1, 53 - 1) = "1", OFFSET($A$1, 266 - 1, 54 - 1) = "1" ), 1, IF( AND( OFFSET($A$1, 266 - 1, 53 - 1) = "1", OFFSET($A$1, 266 - 1, 54 - 1) = "0" ), 2, IF( AND( OFFSET($A$1, 266 - 1, 53 - 1) = "0", OFFSET($A$1, 266 - 1, 54 - 1) = "1" ), 3, 4 ) ) )</f>
        <v>4</v>
      </c>
    </row>
    <row r="267" spans="52:55" x14ac:dyDescent="0.25">
      <c r="AZ267" s="7">
        <v>0.12421725565443605</v>
      </c>
      <c r="BA267" s="7" t="str">
        <f>"0"</f>
        <v>0</v>
      </c>
      <c r="BB267" t="str">
        <f ca="1">IF((OFFSET($A$1, 267 - 1, 52 - 1)) &gt;= (OFFSET($A$1, 84 - 1, 7 - 1)), "1","0")</f>
        <v>0</v>
      </c>
      <c r="BC267">
        <f ca="1" xml:space="preserve"> IF( AND( OFFSET($A$1, 267 - 1, 53 - 1) = "1", OFFSET($A$1, 267 - 1, 54 - 1) = "1" ), 1, IF( AND( OFFSET($A$1, 267 - 1, 53 - 1) = "1", OFFSET($A$1, 267 - 1, 54 - 1) = "0" ), 2, IF( AND( OFFSET($A$1, 267 - 1, 53 - 1) = "0", OFFSET($A$1, 267 - 1, 54 - 1) = "1" ), 3, 4 ) ) )</f>
        <v>4</v>
      </c>
    </row>
    <row r="268" spans="52:55" x14ac:dyDescent="0.25">
      <c r="AZ268" s="7">
        <v>0.13268131452733273</v>
      </c>
      <c r="BA268" s="7" t="str">
        <f>"0"</f>
        <v>0</v>
      </c>
      <c r="BB268" t="str">
        <f ca="1">IF((OFFSET($A$1, 268 - 1, 52 - 1)) &gt;= (OFFSET($A$1, 84 - 1, 7 - 1)), "1","0")</f>
        <v>0</v>
      </c>
      <c r="BC268">
        <f ca="1" xml:space="preserve"> IF( AND( OFFSET($A$1, 268 - 1, 53 - 1) = "1", OFFSET($A$1, 268 - 1, 54 - 1) = "1" ), 1, IF( AND( OFFSET($A$1, 268 - 1, 53 - 1) = "1", OFFSET($A$1, 268 - 1, 54 - 1) = "0" ), 2, IF( AND( OFFSET($A$1, 268 - 1, 53 - 1) = "0", OFFSET($A$1, 268 - 1, 54 - 1) = "1" ), 3, 4 ) ) )</f>
        <v>4</v>
      </c>
    </row>
    <row r="269" spans="52:55" x14ac:dyDescent="0.25">
      <c r="AZ269" s="7">
        <v>0.14817605008861315</v>
      </c>
      <c r="BA269" s="7" t="str">
        <f>"0"</f>
        <v>0</v>
      </c>
      <c r="BB269" t="str">
        <f ca="1">IF((OFFSET($A$1, 269 - 1, 52 - 1)) &gt;= (OFFSET($A$1, 84 - 1, 7 - 1)), "1","0")</f>
        <v>0</v>
      </c>
      <c r="BC269">
        <f ca="1" xml:space="preserve"> IF( AND( OFFSET($A$1, 269 - 1, 53 - 1) = "1", OFFSET($A$1, 269 - 1, 54 - 1) = "1" ), 1, IF( AND( OFFSET($A$1, 269 - 1, 53 - 1) = "1", OFFSET($A$1, 269 - 1, 54 - 1) = "0" ), 2, IF( AND( OFFSET($A$1, 269 - 1, 53 - 1) = "0", OFFSET($A$1, 269 - 1, 54 - 1) = "1" ), 3, 4 ) ) )</f>
        <v>4</v>
      </c>
    </row>
    <row r="270" spans="52:55" x14ac:dyDescent="0.25">
      <c r="AZ270" s="7">
        <v>0.27790687987271895</v>
      </c>
      <c r="BA270" s="7" t="str">
        <f>"0"</f>
        <v>0</v>
      </c>
      <c r="BB270" t="str">
        <f ca="1">IF((OFFSET($A$1, 270 - 1, 52 - 1)) &gt;= (OFFSET($A$1, 84 - 1, 7 - 1)), "1","0")</f>
        <v>0</v>
      </c>
      <c r="BC270">
        <f ca="1" xml:space="preserve"> IF( AND( OFFSET($A$1, 270 - 1, 53 - 1) = "1", OFFSET($A$1, 270 - 1, 54 - 1) = "1" ), 1, IF( AND( OFFSET($A$1, 270 - 1, 53 - 1) = "1", OFFSET($A$1, 270 - 1, 54 - 1) = "0" ), 2, IF( AND( OFFSET($A$1, 270 - 1, 53 - 1) = "0", OFFSET($A$1, 270 - 1, 54 - 1) = "1" ), 3, 4 ) ) )</f>
        <v>4</v>
      </c>
    </row>
    <row r="271" spans="52:55" x14ac:dyDescent="0.25">
      <c r="AZ271" s="7">
        <v>0.23360621352235511</v>
      </c>
      <c r="BA271" s="7" t="str">
        <f>"0"</f>
        <v>0</v>
      </c>
      <c r="BB271" t="str">
        <f ca="1">IF((OFFSET($A$1, 271 - 1, 52 - 1)) &gt;= (OFFSET($A$1, 84 - 1, 7 - 1)), "1","0")</f>
        <v>0</v>
      </c>
      <c r="BC271">
        <f ca="1" xml:space="preserve"> IF( AND( OFFSET($A$1, 271 - 1, 53 - 1) = "1", OFFSET($A$1, 271 - 1, 54 - 1) = "1" ), 1, IF( AND( OFFSET($A$1, 271 - 1, 53 - 1) = "1", OFFSET($A$1, 271 - 1, 54 - 1) = "0" ), 2, IF( AND( OFFSET($A$1, 271 - 1, 53 - 1) = "0", OFFSET($A$1, 271 - 1, 54 - 1) = "1" ), 3, 4 ) ) )</f>
        <v>4</v>
      </c>
    </row>
    <row r="272" spans="52:55" x14ac:dyDescent="0.25">
      <c r="AZ272" s="7">
        <v>0.19249866972239305</v>
      </c>
      <c r="BA272" s="7" t="str">
        <f>"1"</f>
        <v>1</v>
      </c>
      <c r="BB272" t="str">
        <f ca="1">IF((OFFSET($A$1, 272 - 1, 52 - 1)) &gt;= (OFFSET($A$1, 84 - 1, 7 - 1)), "1","0")</f>
        <v>0</v>
      </c>
      <c r="BC272">
        <f ca="1" xml:space="preserve"> IF( AND( OFFSET($A$1, 272 - 1, 53 - 1) = "1", OFFSET($A$1, 272 - 1, 54 - 1) = "1" ), 1, IF( AND( OFFSET($A$1, 272 - 1, 53 - 1) = "1", OFFSET($A$1, 272 - 1, 54 - 1) = "0" ), 2, IF( AND( OFFSET($A$1, 272 - 1, 53 - 1) = "0", OFFSET($A$1, 272 - 1, 54 - 1) = "1" ), 3, 4 ) ) )</f>
        <v>2</v>
      </c>
    </row>
    <row r="273" spans="52:55" x14ac:dyDescent="0.25">
      <c r="AZ273" s="7">
        <v>0.15714160180604103</v>
      </c>
      <c r="BA273" s="7" t="str">
        <f>"0"</f>
        <v>0</v>
      </c>
      <c r="BB273" t="str">
        <f ca="1">IF((OFFSET($A$1, 273 - 1, 52 - 1)) &gt;= (OFFSET($A$1, 84 - 1, 7 - 1)), "1","0")</f>
        <v>0</v>
      </c>
      <c r="BC273">
        <f ca="1" xml:space="preserve"> IF( AND( OFFSET($A$1, 273 - 1, 53 - 1) = "1", OFFSET($A$1, 273 - 1, 54 - 1) = "1" ), 1, IF( AND( OFFSET($A$1, 273 - 1, 53 - 1) = "1", OFFSET($A$1, 273 - 1, 54 - 1) = "0" ), 2, IF( AND( OFFSET($A$1, 273 - 1, 53 - 1) = "0", OFFSET($A$1, 273 - 1, 54 - 1) = "1" ), 3, 4 ) ) )</f>
        <v>4</v>
      </c>
    </row>
    <row r="274" spans="52:55" x14ac:dyDescent="0.25">
      <c r="AZ274" s="7">
        <v>0.18823899267304145</v>
      </c>
      <c r="BA274" s="7" t="str">
        <f>"0"</f>
        <v>0</v>
      </c>
      <c r="BB274" t="str">
        <f ca="1">IF((OFFSET($A$1, 274 - 1, 52 - 1)) &gt;= (OFFSET($A$1, 84 - 1, 7 - 1)), "1","0")</f>
        <v>0</v>
      </c>
      <c r="BC274">
        <f ca="1" xml:space="preserve"> IF( AND( OFFSET($A$1, 274 - 1, 53 - 1) = "1", OFFSET($A$1, 274 - 1, 54 - 1) = "1" ), 1, IF( AND( OFFSET($A$1, 274 - 1, 53 - 1) = "1", OFFSET($A$1, 274 - 1, 54 - 1) = "0" ), 2, IF( AND( OFFSET($A$1, 274 - 1, 53 - 1) = "0", OFFSET($A$1, 274 - 1, 54 - 1) = "1" ), 3, 4 ) ) )</f>
        <v>4</v>
      </c>
    </row>
    <row r="275" spans="52:55" x14ac:dyDescent="0.25">
      <c r="AZ275" s="7">
        <v>0.19906212109071325</v>
      </c>
      <c r="BA275" s="7" t="str">
        <f>"1"</f>
        <v>1</v>
      </c>
      <c r="BB275" t="str">
        <f ca="1">IF((OFFSET($A$1, 275 - 1, 52 - 1)) &gt;= (OFFSET($A$1, 84 - 1, 7 - 1)), "1","0")</f>
        <v>0</v>
      </c>
      <c r="BC275">
        <f ca="1" xml:space="preserve"> IF( AND( OFFSET($A$1, 275 - 1, 53 - 1) = "1", OFFSET($A$1, 275 - 1, 54 - 1) = "1" ), 1, IF( AND( OFFSET($A$1, 275 - 1, 53 - 1) = "1", OFFSET($A$1, 275 - 1, 54 - 1) = "0" ), 2, IF( AND( OFFSET($A$1, 275 - 1, 53 - 1) = "0", OFFSET($A$1, 275 - 1, 54 - 1) = "1" ), 3, 4 ) ) )</f>
        <v>2</v>
      </c>
    </row>
    <row r="276" spans="52:55" x14ac:dyDescent="0.25">
      <c r="AZ276" s="7">
        <v>0.15933658575903892</v>
      </c>
      <c r="BA276" s="7" t="str">
        <f>"0"</f>
        <v>0</v>
      </c>
      <c r="BB276" t="str">
        <f ca="1">IF((OFFSET($A$1, 276 - 1, 52 - 1)) &gt;= (OFFSET($A$1, 84 - 1, 7 - 1)), "1","0")</f>
        <v>0</v>
      </c>
      <c r="BC276">
        <f ca="1" xml:space="preserve"> IF( AND( OFFSET($A$1, 276 - 1, 53 - 1) = "1", OFFSET($A$1, 276 - 1, 54 - 1) = "1" ), 1, IF( AND( OFFSET($A$1, 276 - 1, 53 - 1) = "1", OFFSET($A$1, 276 - 1, 54 - 1) = "0" ), 2, IF( AND( OFFSET($A$1, 276 - 1, 53 - 1) = "0", OFFSET($A$1, 276 - 1, 54 - 1) = "1" ), 3, 4 ) ) )</f>
        <v>4</v>
      </c>
    </row>
    <row r="277" spans="52:55" x14ac:dyDescent="0.25">
      <c r="AZ277" s="7">
        <v>0.19408551478042207</v>
      </c>
      <c r="BA277" s="7" t="str">
        <f>"0"</f>
        <v>0</v>
      </c>
      <c r="BB277" t="str">
        <f ca="1">IF((OFFSET($A$1, 277 - 1, 52 - 1)) &gt;= (OFFSET($A$1, 84 - 1, 7 - 1)), "1","0")</f>
        <v>0</v>
      </c>
      <c r="BC277">
        <f ca="1" xml:space="preserve"> IF( AND( OFFSET($A$1, 277 - 1, 53 - 1) = "1", OFFSET($A$1, 277 - 1, 54 - 1) = "1" ), 1, IF( AND( OFFSET($A$1, 277 - 1, 53 - 1) = "1", OFFSET($A$1, 277 - 1, 54 - 1) = "0" ), 2, IF( AND( OFFSET($A$1, 277 - 1, 53 - 1) = "0", OFFSET($A$1, 277 - 1, 54 - 1) = "1" ), 3, 4 ) ) )</f>
        <v>4</v>
      </c>
    </row>
    <row r="278" spans="52:55" x14ac:dyDescent="0.25">
      <c r="AZ278" s="7">
        <v>0.15797815652794542</v>
      </c>
      <c r="BA278" s="7" t="str">
        <f>"0"</f>
        <v>0</v>
      </c>
      <c r="BB278" t="str">
        <f ca="1">IF((OFFSET($A$1, 278 - 1, 52 - 1)) &gt;= (OFFSET($A$1, 84 - 1, 7 - 1)), "1","0")</f>
        <v>0</v>
      </c>
      <c r="BC278">
        <f ca="1" xml:space="preserve"> IF( AND( OFFSET($A$1, 278 - 1, 53 - 1) = "1", OFFSET($A$1, 278 - 1, 54 - 1) = "1" ), 1, IF( AND( OFFSET($A$1, 278 - 1, 53 - 1) = "1", OFFSET($A$1, 278 - 1, 54 - 1) = "0" ), 2, IF( AND( OFFSET($A$1, 278 - 1, 53 - 1) = "0", OFFSET($A$1, 278 - 1, 54 - 1) = "1" ), 3, 4 ) ) )</f>
        <v>4</v>
      </c>
    </row>
    <row r="279" spans="52:55" x14ac:dyDescent="0.25">
      <c r="AZ279" s="7">
        <v>0.25813061595697051</v>
      </c>
      <c r="BA279" s="7" t="str">
        <f>"0"</f>
        <v>0</v>
      </c>
      <c r="BB279" t="str">
        <f ca="1">IF((OFFSET($A$1, 279 - 1, 52 - 1)) &gt;= (OFFSET($A$1, 84 - 1, 7 - 1)), "1","0")</f>
        <v>0</v>
      </c>
      <c r="BC279">
        <f ca="1" xml:space="preserve"> IF( AND( OFFSET($A$1, 279 - 1, 53 - 1) = "1", OFFSET($A$1, 279 - 1, 54 - 1) = "1" ), 1, IF( AND( OFFSET($A$1, 279 - 1, 53 - 1) = "1", OFFSET($A$1, 279 - 1, 54 - 1) = "0" ), 2, IF( AND( OFFSET($A$1, 279 - 1, 53 - 1) = "0", OFFSET($A$1, 279 - 1, 54 - 1) = "1" ), 3, 4 ) ) )</f>
        <v>4</v>
      </c>
    </row>
    <row r="280" spans="52:55" x14ac:dyDescent="0.25">
      <c r="AZ280" s="7">
        <v>0.18957672354436342</v>
      </c>
      <c r="BA280" s="7" t="str">
        <f>"1"</f>
        <v>1</v>
      </c>
      <c r="BB280" t="str">
        <f ca="1">IF((OFFSET($A$1, 280 - 1, 52 - 1)) &gt;= (OFFSET($A$1, 84 - 1, 7 - 1)), "1","0")</f>
        <v>0</v>
      </c>
      <c r="BC280">
        <f ca="1" xml:space="preserve"> IF( AND( OFFSET($A$1, 280 - 1, 53 - 1) = "1", OFFSET($A$1, 280 - 1, 54 - 1) = "1" ), 1, IF( AND( OFFSET($A$1, 280 - 1, 53 - 1) = "1", OFFSET($A$1, 280 - 1, 54 - 1) = "0" ), 2, IF( AND( OFFSET($A$1, 280 - 1, 53 - 1) = "0", OFFSET($A$1, 280 - 1, 54 - 1) = "1" ), 3, 4 ) ) )</f>
        <v>2</v>
      </c>
    </row>
    <row r="281" spans="52:55" x14ac:dyDescent="0.25">
      <c r="AZ281" s="7">
        <v>0.18920393430435881</v>
      </c>
      <c r="BA281" s="7" t="str">
        <f>"1"</f>
        <v>1</v>
      </c>
      <c r="BB281" t="str">
        <f ca="1">IF((OFFSET($A$1, 281 - 1, 52 - 1)) &gt;= (OFFSET($A$1, 84 - 1, 7 - 1)), "1","0")</f>
        <v>0</v>
      </c>
      <c r="BC281">
        <f ca="1" xml:space="preserve"> IF( AND( OFFSET($A$1, 281 - 1, 53 - 1) = "1", OFFSET($A$1, 281 - 1, 54 - 1) = "1" ), 1, IF( AND( OFFSET($A$1, 281 - 1, 53 - 1) = "1", OFFSET($A$1, 281 - 1, 54 - 1) = "0" ), 2, IF( AND( OFFSET($A$1, 281 - 1, 53 - 1) = "0", OFFSET($A$1, 281 - 1, 54 - 1) = "1" ), 3, 4 ) ) )</f>
        <v>2</v>
      </c>
    </row>
    <row r="282" spans="52:55" x14ac:dyDescent="0.25">
      <c r="AZ282" s="7">
        <v>0.21925873576292521</v>
      </c>
      <c r="BA282" s="7" t="str">
        <f>"0"</f>
        <v>0</v>
      </c>
      <c r="BB282" t="str">
        <f ca="1">IF((OFFSET($A$1, 282 - 1, 52 - 1)) &gt;= (OFFSET($A$1, 84 - 1, 7 - 1)), "1","0")</f>
        <v>0</v>
      </c>
      <c r="BC282">
        <f ca="1" xml:space="preserve"> IF( AND( OFFSET($A$1, 282 - 1, 53 - 1) = "1", OFFSET($A$1, 282 - 1, 54 - 1) = "1" ), 1, IF( AND( OFFSET($A$1, 282 - 1, 53 - 1) = "1", OFFSET($A$1, 282 - 1, 54 - 1) = "0" ), 2, IF( AND( OFFSET($A$1, 282 - 1, 53 - 1) = "0", OFFSET($A$1, 282 - 1, 54 - 1) = "1" ), 3, 4 ) ) )</f>
        <v>4</v>
      </c>
    </row>
    <row r="283" spans="52:55" x14ac:dyDescent="0.25">
      <c r="AZ283" s="7">
        <v>0.26055180003985812</v>
      </c>
      <c r="BA283" s="7" t="str">
        <f>"0"</f>
        <v>0</v>
      </c>
      <c r="BB283" t="str">
        <f ca="1">IF((OFFSET($A$1, 283 - 1, 52 - 1)) &gt;= (OFFSET($A$1, 84 - 1, 7 - 1)), "1","0")</f>
        <v>0</v>
      </c>
      <c r="BC283">
        <f ca="1" xml:space="preserve"> IF( AND( OFFSET($A$1, 283 - 1, 53 - 1) = "1", OFFSET($A$1, 283 - 1, 54 - 1) = "1" ), 1, IF( AND( OFFSET($A$1, 283 - 1, 53 - 1) = "1", OFFSET($A$1, 283 - 1, 54 - 1) = "0" ), 2, IF( AND( OFFSET($A$1, 283 - 1, 53 - 1) = "0", OFFSET($A$1, 283 - 1, 54 - 1) = "1" ), 3, 4 ) ) )</f>
        <v>4</v>
      </c>
    </row>
    <row r="284" spans="52:55" x14ac:dyDescent="0.25">
      <c r="AZ284" s="7">
        <v>0.20452879741603713</v>
      </c>
      <c r="BA284" s="7" t="str">
        <f>"0"</f>
        <v>0</v>
      </c>
      <c r="BB284" t="str">
        <f ca="1">IF((OFFSET($A$1, 284 - 1, 52 - 1)) &gt;= (OFFSET($A$1, 84 - 1, 7 - 1)), "1","0")</f>
        <v>0</v>
      </c>
      <c r="BC284">
        <f ca="1" xml:space="preserve"> IF( AND( OFFSET($A$1, 284 - 1, 53 - 1) = "1", OFFSET($A$1, 284 - 1, 54 - 1) = "1" ), 1, IF( AND( OFFSET($A$1, 284 - 1, 53 - 1) = "1", OFFSET($A$1, 284 - 1, 54 - 1) = "0" ), 2, IF( AND( OFFSET($A$1, 284 - 1, 53 - 1) = "0", OFFSET($A$1, 284 - 1, 54 - 1) = "1" ), 3, 4 ) ) )</f>
        <v>4</v>
      </c>
    </row>
    <row r="285" spans="52:55" x14ac:dyDescent="0.25">
      <c r="AZ285" s="7">
        <v>0.165335205654428</v>
      </c>
      <c r="BA285" s="7" t="str">
        <f>"0"</f>
        <v>0</v>
      </c>
      <c r="BB285" t="str">
        <f ca="1">IF((OFFSET($A$1, 285 - 1, 52 - 1)) &gt;= (OFFSET($A$1, 84 - 1, 7 - 1)), "1","0")</f>
        <v>0</v>
      </c>
      <c r="BC285">
        <f ca="1" xml:space="preserve"> IF( AND( OFFSET($A$1, 285 - 1, 53 - 1) = "1", OFFSET($A$1, 285 - 1, 54 - 1) = "1" ), 1, IF( AND( OFFSET($A$1, 285 - 1, 53 - 1) = "1", OFFSET($A$1, 285 - 1, 54 - 1) = "0" ), 2, IF( AND( OFFSET($A$1, 285 - 1, 53 - 1) = "0", OFFSET($A$1, 285 - 1, 54 - 1) = "1" ), 3, 4 ) ) )</f>
        <v>4</v>
      </c>
    </row>
    <row r="286" spans="52:55" x14ac:dyDescent="0.25">
      <c r="AZ286" s="7">
        <v>0.20618948958978658</v>
      </c>
      <c r="BA286" s="7" t="str">
        <f>"1"</f>
        <v>1</v>
      </c>
      <c r="BB286" t="str">
        <f ca="1">IF((OFFSET($A$1, 286 - 1, 52 - 1)) &gt;= (OFFSET($A$1, 84 - 1, 7 - 1)), "1","0")</f>
        <v>0</v>
      </c>
      <c r="BC286">
        <f ca="1" xml:space="preserve"> IF( AND( OFFSET($A$1, 286 - 1, 53 - 1) = "1", OFFSET($A$1, 286 - 1, 54 - 1) = "1" ), 1, IF( AND( OFFSET($A$1, 286 - 1, 53 - 1) = "1", OFFSET($A$1, 286 - 1, 54 - 1) = "0" ), 2, IF( AND( OFFSET($A$1, 286 - 1, 53 - 1) = "0", OFFSET($A$1, 286 - 1, 54 - 1) = "1" ), 3, 4 ) ) )</f>
        <v>2</v>
      </c>
    </row>
    <row r="287" spans="52:55" x14ac:dyDescent="0.25">
      <c r="AZ287" s="7">
        <v>0.2156282895510116</v>
      </c>
      <c r="BA287" s="7" t="str">
        <f>"0"</f>
        <v>0</v>
      </c>
      <c r="BB287" t="str">
        <f ca="1">IF((OFFSET($A$1, 287 - 1, 52 - 1)) &gt;= (OFFSET($A$1, 84 - 1, 7 - 1)), "1","0")</f>
        <v>0</v>
      </c>
      <c r="BC287">
        <f ca="1" xml:space="preserve"> IF( AND( OFFSET($A$1, 287 - 1, 53 - 1) = "1", OFFSET($A$1, 287 - 1, 54 - 1) = "1" ), 1, IF( AND( OFFSET($A$1, 287 - 1, 53 - 1) = "1", OFFSET($A$1, 287 - 1, 54 - 1) = "0" ), 2, IF( AND( OFFSET($A$1, 287 - 1, 53 - 1) = "0", OFFSET($A$1, 287 - 1, 54 - 1) = "1" ), 3, 4 ) ) )</f>
        <v>4</v>
      </c>
    </row>
    <row r="288" spans="52:55" x14ac:dyDescent="0.25">
      <c r="AZ288" s="7">
        <v>0.14424250236698524</v>
      </c>
      <c r="BA288" s="7" t="str">
        <f>"0"</f>
        <v>0</v>
      </c>
      <c r="BB288" t="str">
        <f ca="1">IF((OFFSET($A$1, 288 - 1, 52 - 1)) &gt;= (OFFSET($A$1, 84 - 1, 7 - 1)), "1","0")</f>
        <v>0</v>
      </c>
      <c r="BC288">
        <f ca="1" xml:space="preserve"> IF( AND( OFFSET($A$1, 288 - 1, 53 - 1) = "1", OFFSET($A$1, 288 - 1, 54 - 1) = "1" ), 1, IF( AND( OFFSET($A$1, 288 - 1, 53 - 1) = "1", OFFSET($A$1, 288 - 1, 54 - 1) = "0" ), 2, IF( AND( OFFSET($A$1, 288 - 1, 53 - 1) = "0", OFFSET($A$1, 288 - 1, 54 - 1) = "1" ), 3, 4 ) ) )</f>
        <v>4</v>
      </c>
    </row>
    <row r="289" spans="52:55" x14ac:dyDescent="0.25">
      <c r="AZ289" s="7">
        <v>0.21285418930728234</v>
      </c>
      <c r="BA289" s="7" t="str">
        <f>"1"</f>
        <v>1</v>
      </c>
      <c r="BB289" t="str">
        <f ca="1">IF((OFFSET($A$1, 289 - 1, 52 - 1)) &gt;= (OFFSET($A$1, 84 - 1, 7 - 1)), "1","0")</f>
        <v>0</v>
      </c>
      <c r="BC289">
        <f ca="1" xml:space="preserve"> IF( AND( OFFSET($A$1, 289 - 1, 53 - 1) = "1", OFFSET($A$1, 289 - 1, 54 - 1) = "1" ), 1, IF( AND( OFFSET($A$1, 289 - 1, 53 - 1) = "1", OFFSET($A$1, 289 - 1, 54 - 1) = "0" ), 2, IF( AND( OFFSET($A$1, 289 - 1, 53 - 1) = "0", OFFSET($A$1, 289 - 1, 54 - 1) = "1" ), 3, 4 ) ) )</f>
        <v>2</v>
      </c>
    </row>
    <row r="290" spans="52:55" x14ac:dyDescent="0.25">
      <c r="AZ290" s="7">
        <v>0.20350531581163517</v>
      </c>
      <c r="BA290" s="7" t="str">
        <f>"0"</f>
        <v>0</v>
      </c>
      <c r="BB290" t="str">
        <f ca="1">IF((OFFSET($A$1, 290 - 1, 52 - 1)) &gt;= (OFFSET($A$1, 84 - 1, 7 - 1)), "1","0")</f>
        <v>0</v>
      </c>
      <c r="BC290">
        <f ca="1" xml:space="preserve"> IF( AND( OFFSET($A$1, 290 - 1, 53 - 1) = "1", OFFSET($A$1, 290 - 1, 54 - 1) = "1" ), 1, IF( AND( OFFSET($A$1, 290 - 1, 53 - 1) = "1", OFFSET($A$1, 290 - 1, 54 - 1) = "0" ), 2, IF( AND( OFFSET($A$1, 290 - 1, 53 - 1) = "0", OFFSET($A$1, 290 - 1, 54 - 1) = "1" ), 3, 4 ) ) )</f>
        <v>4</v>
      </c>
    </row>
    <row r="291" spans="52:55" x14ac:dyDescent="0.25">
      <c r="AZ291" s="7">
        <v>0.20452879741603713</v>
      </c>
      <c r="BA291" s="7" t="str">
        <f>"0"</f>
        <v>0</v>
      </c>
      <c r="BB291" t="str">
        <f ca="1">IF((OFFSET($A$1, 291 - 1, 52 - 1)) &gt;= (OFFSET($A$1, 84 - 1, 7 - 1)), "1","0")</f>
        <v>0</v>
      </c>
      <c r="BC291">
        <f ca="1" xml:space="preserve"> IF( AND( OFFSET($A$1, 291 - 1, 53 - 1) = "1", OFFSET($A$1, 291 - 1, 54 - 1) = "1" ), 1, IF( AND( OFFSET($A$1, 291 - 1, 53 - 1) = "1", OFFSET($A$1, 291 - 1, 54 - 1) = "0" ), 2, IF( AND( OFFSET($A$1, 291 - 1, 53 - 1) = "0", OFFSET($A$1, 291 - 1, 54 - 1) = "1" ), 3, 4 ) ) )</f>
        <v>4</v>
      </c>
    </row>
    <row r="292" spans="52:55" x14ac:dyDescent="0.25">
      <c r="AZ292" s="7">
        <v>0.10867521232278439</v>
      </c>
      <c r="BA292" s="7" t="str">
        <f>"0"</f>
        <v>0</v>
      </c>
      <c r="BB292" t="str">
        <f ca="1">IF((OFFSET($A$1, 292 - 1, 52 - 1)) &gt;= (OFFSET($A$1, 84 - 1, 7 - 1)), "1","0")</f>
        <v>0</v>
      </c>
      <c r="BC292">
        <f ca="1" xml:space="preserve"> IF( AND( OFFSET($A$1, 292 - 1, 53 - 1) = "1", OFFSET($A$1, 292 - 1, 54 - 1) = "1" ), 1, IF( AND( OFFSET($A$1, 292 - 1, 53 - 1) = "1", OFFSET($A$1, 292 - 1, 54 - 1) = "0" ), 2, IF( AND( OFFSET($A$1, 292 - 1, 53 - 1) = "0", OFFSET($A$1, 292 - 1, 54 - 1) = "1" ), 3, 4 ) ) )</f>
        <v>4</v>
      </c>
    </row>
    <row r="293" spans="52:55" x14ac:dyDescent="0.25">
      <c r="AZ293" s="7">
        <v>0.15881832555203282</v>
      </c>
      <c r="BA293" s="7" t="str">
        <f>"1"</f>
        <v>1</v>
      </c>
      <c r="BB293" t="str">
        <f ca="1">IF((OFFSET($A$1, 293 - 1, 52 - 1)) &gt;= (OFFSET($A$1, 84 - 1, 7 - 1)), "1","0")</f>
        <v>0</v>
      </c>
      <c r="BC293">
        <f ca="1" xml:space="preserve"> IF( AND( OFFSET($A$1, 293 - 1, 53 - 1) = "1", OFFSET($A$1, 293 - 1, 54 - 1) = "1" ), 1, IF( AND( OFFSET($A$1, 293 - 1, 53 - 1) = "1", OFFSET($A$1, 293 - 1, 54 - 1) = "0" ), 2, IF( AND( OFFSET($A$1, 293 - 1, 53 - 1) = "0", OFFSET($A$1, 293 - 1, 54 - 1) = "1" ), 3, 4 ) ) )</f>
        <v>2</v>
      </c>
    </row>
    <row r="294" spans="52:55" x14ac:dyDescent="0.25">
      <c r="AZ294" s="7">
        <v>0.22537649659634262</v>
      </c>
      <c r="BA294" s="7" t="str">
        <f>"1"</f>
        <v>1</v>
      </c>
      <c r="BB294" t="str">
        <f ca="1">IF((OFFSET($A$1, 294 - 1, 52 - 1)) &gt;= (OFFSET($A$1, 84 - 1, 7 - 1)), "1","0")</f>
        <v>0</v>
      </c>
      <c r="BC294">
        <f ca="1" xml:space="preserve"> IF( AND( OFFSET($A$1, 294 - 1, 53 - 1) = "1", OFFSET($A$1, 294 - 1, 54 - 1) = "1" ), 1, IF( AND( OFFSET($A$1, 294 - 1, 53 - 1) = "1", OFFSET($A$1, 294 - 1, 54 - 1) = "0" ), 2, IF( AND( OFFSET($A$1, 294 - 1, 53 - 1) = "0", OFFSET($A$1, 294 - 1, 54 - 1) = "1" ), 3, 4 ) ) )</f>
        <v>2</v>
      </c>
    </row>
    <row r="295" spans="52:55" x14ac:dyDescent="0.25">
      <c r="AZ295" s="7">
        <v>0.17456658991828952</v>
      </c>
      <c r="BA295" s="7" t="str">
        <f>"0"</f>
        <v>0</v>
      </c>
      <c r="BB295" t="str">
        <f ca="1">IF((OFFSET($A$1, 295 - 1, 52 - 1)) &gt;= (OFFSET($A$1, 84 - 1, 7 - 1)), "1","0")</f>
        <v>0</v>
      </c>
      <c r="BC295">
        <f ca="1" xml:space="preserve"> IF( AND( OFFSET($A$1, 295 - 1, 53 - 1) = "1", OFFSET($A$1, 295 - 1, 54 - 1) = "1" ), 1, IF( AND( OFFSET($A$1, 295 - 1, 53 - 1) = "1", OFFSET($A$1, 295 - 1, 54 - 1) = "0" ), 2, IF( AND( OFFSET($A$1, 295 - 1, 53 - 1) = "0", OFFSET($A$1, 295 - 1, 54 - 1) = "1" ), 3, 4 ) ) )</f>
        <v>4</v>
      </c>
    </row>
    <row r="296" spans="52:55" x14ac:dyDescent="0.25">
      <c r="AZ296" s="7">
        <v>0.20658721836771066</v>
      </c>
      <c r="BA296" s="7" t="str">
        <f>"0"</f>
        <v>0</v>
      </c>
      <c r="BB296" t="str">
        <f ca="1">IF((OFFSET($A$1, 296 - 1, 52 - 1)) &gt;= (OFFSET($A$1, 84 - 1, 7 - 1)), "1","0")</f>
        <v>0</v>
      </c>
      <c r="BC296">
        <f ca="1" xml:space="preserve"> IF( AND( OFFSET($A$1, 296 - 1, 53 - 1) = "1", OFFSET($A$1, 296 - 1, 54 - 1) = "1" ), 1, IF( AND( OFFSET($A$1, 296 - 1, 53 - 1) = "1", OFFSET($A$1, 296 - 1, 54 - 1) = "0" ), 2, IF( AND( OFFSET($A$1, 296 - 1, 53 - 1) = "0", OFFSET($A$1, 296 - 1, 54 - 1) = "1" ), 3, 4 ) ) )</f>
        <v>4</v>
      </c>
    </row>
    <row r="297" spans="52:55" x14ac:dyDescent="0.25">
      <c r="AZ297" s="7">
        <v>0.24391443341884703</v>
      </c>
      <c r="BA297" s="7" t="str">
        <f>"0"</f>
        <v>0</v>
      </c>
      <c r="BB297" t="str">
        <f ca="1">IF((OFFSET($A$1, 297 - 1, 52 - 1)) &gt;= (OFFSET($A$1, 84 - 1, 7 - 1)), "1","0")</f>
        <v>0</v>
      </c>
      <c r="BC297">
        <f ca="1" xml:space="preserve"> IF( AND( OFFSET($A$1, 297 - 1, 53 - 1) = "1", OFFSET($A$1, 297 - 1, 54 - 1) = "1" ), 1, IF( AND( OFFSET($A$1, 297 - 1, 53 - 1) = "1", OFFSET($A$1, 297 - 1, 54 - 1) = "0" ), 2, IF( AND( OFFSET($A$1, 297 - 1, 53 - 1) = "0", OFFSET($A$1, 297 - 1, 54 - 1) = "1" ), 3, 4 ) ) )</f>
        <v>4</v>
      </c>
    </row>
    <row r="298" spans="52:55" x14ac:dyDescent="0.25">
      <c r="AZ298" s="7">
        <v>0.23473646538289375</v>
      </c>
      <c r="BA298" s="7" t="str">
        <f>"0"</f>
        <v>0</v>
      </c>
      <c r="BB298" t="str">
        <f ca="1">IF((OFFSET($A$1, 298 - 1, 52 - 1)) &gt;= (OFFSET($A$1, 84 - 1, 7 - 1)), "1","0")</f>
        <v>0</v>
      </c>
      <c r="BC298">
        <f ca="1" xml:space="preserve"> IF( AND( OFFSET($A$1, 298 - 1, 53 - 1) = "1", OFFSET($A$1, 298 - 1, 54 - 1) = "1" ), 1, IF( AND( OFFSET($A$1, 298 - 1, 53 - 1) = "1", OFFSET($A$1, 298 - 1, 54 - 1) = "0" ), 2, IF( AND( OFFSET($A$1, 298 - 1, 53 - 1) = "0", OFFSET($A$1, 298 - 1, 54 - 1) = "1" ), 3, 4 ) ) )</f>
        <v>4</v>
      </c>
    </row>
    <row r="299" spans="52:55" x14ac:dyDescent="0.25">
      <c r="AZ299" s="7">
        <v>0.22033952806625404</v>
      </c>
      <c r="BA299" s="7" t="str">
        <f>"0"</f>
        <v>0</v>
      </c>
      <c r="BB299" t="str">
        <f ca="1">IF((OFFSET($A$1, 299 - 1, 52 - 1)) &gt;= (OFFSET($A$1, 84 - 1, 7 - 1)), "1","0")</f>
        <v>0</v>
      </c>
      <c r="BC299">
        <f ca="1" xml:space="preserve"> IF( AND( OFFSET($A$1, 299 - 1, 53 - 1) = "1", OFFSET($A$1, 299 - 1, 54 - 1) = "1" ), 1, IF( AND( OFFSET($A$1, 299 - 1, 53 - 1) = "1", OFFSET($A$1, 299 - 1, 54 - 1) = "0" ), 2, IF( AND( OFFSET($A$1, 299 - 1, 53 - 1) = "0", OFFSET($A$1, 299 - 1, 54 - 1) = "1" ), 3, 4 ) ) )</f>
        <v>4</v>
      </c>
    </row>
    <row r="300" spans="52:55" x14ac:dyDescent="0.25">
      <c r="AZ300" s="7">
        <v>0.21285418930728234</v>
      </c>
      <c r="BA300" s="7" t="str">
        <f>"0"</f>
        <v>0</v>
      </c>
      <c r="BB300" t="str">
        <f ca="1">IF((OFFSET($A$1, 300 - 1, 52 - 1)) &gt;= (OFFSET($A$1, 84 - 1, 7 - 1)), "1","0")</f>
        <v>0</v>
      </c>
      <c r="BC300">
        <f ca="1" xml:space="preserve"> IF( AND( OFFSET($A$1, 300 - 1, 53 - 1) = "1", OFFSET($A$1, 300 - 1, 54 - 1) = "1" ), 1, IF( AND( OFFSET($A$1, 300 - 1, 53 - 1) = "1", OFFSET($A$1, 300 - 1, 54 - 1) = "0" ), 2, IF( AND( OFFSET($A$1, 300 - 1, 53 - 1) = "0", OFFSET($A$1, 300 - 1, 54 - 1) = "1" ), 3, 4 ) ) )</f>
        <v>4</v>
      </c>
    </row>
  </sheetData>
  <mergeCells count="82">
    <mergeCell ref="B3:K3"/>
    <mergeCell ref="N3:Q3"/>
    <mergeCell ref="F4:G4"/>
    <mergeCell ref="H4:I4"/>
    <mergeCell ref="J4:K4"/>
    <mergeCell ref="B5:C5"/>
    <mergeCell ref="D5:E5"/>
    <mergeCell ref="F5:G5"/>
    <mergeCell ref="H5:I5"/>
    <mergeCell ref="J5:K5"/>
    <mergeCell ref="C123:D123"/>
    <mergeCell ref="C124:D124"/>
    <mergeCell ref="C125:D125"/>
    <mergeCell ref="C126:D126"/>
    <mergeCell ref="C127:D127"/>
    <mergeCell ref="B4:C4"/>
    <mergeCell ref="D4:E4"/>
    <mergeCell ref="C108:F108"/>
    <mergeCell ref="H108:M108"/>
    <mergeCell ref="C110:E110"/>
    <mergeCell ref="D111:E111"/>
    <mergeCell ref="C116:F116"/>
    <mergeCell ref="C122:E122"/>
    <mergeCell ref="C98:E98"/>
    <mergeCell ref="C99:D99"/>
    <mergeCell ref="C100:D100"/>
    <mergeCell ref="C101:D101"/>
    <mergeCell ref="C102:D102"/>
    <mergeCell ref="C103:D103"/>
    <mergeCell ref="H73:J73"/>
    <mergeCell ref="C84:F84"/>
    <mergeCell ref="H84:M84"/>
    <mergeCell ref="C86:E86"/>
    <mergeCell ref="D87:E87"/>
    <mergeCell ref="C92:F92"/>
    <mergeCell ref="C39:G39"/>
    <mergeCell ref="C40:G40"/>
    <mergeCell ref="C45:G45"/>
    <mergeCell ref="C54:E54"/>
    <mergeCell ref="C56:D56"/>
    <mergeCell ref="E56:F56"/>
    <mergeCell ref="G32:J32"/>
    <mergeCell ref="G33:J33"/>
    <mergeCell ref="G34:J34"/>
    <mergeCell ref="C36:G36"/>
    <mergeCell ref="C37:G37"/>
    <mergeCell ref="C38:G38"/>
    <mergeCell ref="C31:F31"/>
    <mergeCell ref="C32:F32"/>
    <mergeCell ref="C33:F33"/>
    <mergeCell ref="C34:F34"/>
    <mergeCell ref="G26:J26"/>
    <mergeCell ref="G27:J27"/>
    <mergeCell ref="G28:J28"/>
    <mergeCell ref="G29:J29"/>
    <mergeCell ref="G30:J30"/>
    <mergeCell ref="G31:J31"/>
    <mergeCell ref="C25:J25"/>
    <mergeCell ref="C26:F26"/>
    <mergeCell ref="C27:F27"/>
    <mergeCell ref="C28:F28"/>
    <mergeCell ref="C29:F29"/>
    <mergeCell ref="C30:F30"/>
    <mergeCell ref="C20:F20"/>
    <mergeCell ref="C21:D21"/>
    <mergeCell ref="C22:D22"/>
    <mergeCell ref="C23:D23"/>
    <mergeCell ref="E21:F21"/>
    <mergeCell ref="E23:F23"/>
    <mergeCell ref="C18:F18"/>
    <mergeCell ref="G13:K13"/>
    <mergeCell ref="G14:K14"/>
    <mergeCell ref="G15:K15"/>
    <mergeCell ref="G16:K16"/>
    <mergeCell ref="G17:K17"/>
    <mergeCell ref="G18:K18"/>
    <mergeCell ref="C12:K12"/>
    <mergeCell ref="C13:F13"/>
    <mergeCell ref="C14:F14"/>
    <mergeCell ref="C15:F15"/>
    <mergeCell ref="C16:F16"/>
    <mergeCell ref="C17:F17"/>
  </mergeCells>
  <hyperlinks>
    <hyperlink ref="C75" location="B75:B75" tooltip="603" display="Choose Subset"/>
    <hyperlink ref="C76" location="B76:B76" tooltip="603" display="Choose Subset"/>
    <hyperlink ref="C77" location="B77:B77" tooltip="603" display="Choose Subset"/>
    <hyperlink ref="C78" location="B78:B78" tooltip="603" display="Choose Subset"/>
    <hyperlink ref="B4" location="'LR_Output'!$B$10:$B$10" display="Inputs"/>
    <hyperlink ref="D4" location="'LR_Output'!$B$43:$B$43" display="Prior Class Prob."/>
    <hyperlink ref="F4" location="'LR_Output'!$B$52:$B$52" display="Predictors"/>
    <hyperlink ref="H4" location="'LR_Output'!$B$63:$B$63" display="Regress. Model"/>
    <hyperlink ref="J4" location="'LR_Output'!$B$71:$B$71" display="Variable Selection"/>
    <hyperlink ref="B5" location="'LR_Output'!$B$82:$B$82" display="Train. Score Summary"/>
    <hyperlink ref="D5" location="'LR_Output'!$B$106:$B$106" display="Valid. Score Summary"/>
    <hyperlink ref="F5" location="'LR_TrainingLiftChart'!$B$10:$B$10" display="Training Lift Chart"/>
    <hyperlink ref="H5" location="'LR_ValidationLiftChart'!$B$10:$B$10" display="Validation Lift Chart"/>
  </hyperlink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303"/>
  <sheetViews>
    <sheetView showGridLines="0" workbookViewId="0"/>
  </sheetViews>
  <sheetFormatPr defaultRowHeight="15.75" x14ac:dyDescent="0.25"/>
  <cols>
    <col min="14" max="14" width="11.5" bestFit="1" customWidth="1"/>
    <col min="52" max="52" width="7.125" customWidth="1"/>
    <col min="53" max="53" width="14" bestFit="1" customWidth="1"/>
    <col min="54" max="54" width="11.5" bestFit="1" customWidth="1"/>
    <col min="55" max="55" width="40.5" bestFit="1" customWidth="1"/>
    <col min="56" max="56" width="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ht="18.75" x14ac:dyDescent="0.3">
      <c r="B1" s="5" t="s">
        <v>71</v>
      </c>
      <c r="N1" t="s">
        <v>166</v>
      </c>
      <c r="BZ1" s="10" t="s">
        <v>54</v>
      </c>
      <c r="CA1" s="10" t="s">
        <v>55</v>
      </c>
      <c r="CB1" s="10" t="s">
        <v>56</v>
      </c>
    </row>
    <row r="2" spans="2:80" x14ac:dyDescent="0.25">
      <c r="BZ2">
        <v>0</v>
      </c>
      <c r="CA2">
        <v>0</v>
      </c>
      <c r="CB2">
        <v>0</v>
      </c>
    </row>
    <row r="3" spans="2:8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10" t="s">
        <v>47</v>
      </c>
      <c r="BA3" s="10" t="s">
        <v>48</v>
      </c>
      <c r="BB3" s="10" t="s">
        <v>49</v>
      </c>
      <c r="BC3" s="10" t="s">
        <v>50</v>
      </c>
      <c r="BD3" s="10" t="s">
        <v>51</v>
      </c>
      <c r="BE3" s="10" t="s">
        <v>52</v>
      </c>
      <c r="BF3" s="10" t="s">
        <v>53</v>
      </c>
      <c r="BZ3">
        <v>8.2987551867219917E-3</v>
      </c>
      <c r="CA3">
        <v>0</v>
      </c>
      <c r="CB3">
        <v>8.2987551867219917E-3</v>
      </c>
    </row>
    <row r="4" spans="2:8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66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24">
        <v>1</v>
      </c>
      <c r="BA4" s="24">
        <v>0.28943168192732205</v>
      </c>
      <c r="BB4" s="24">
        <v>0</v>
      </c>
      <c r="BC4" s="24">
        <v>0</v>
      </c>
      <c r="BD4" s="24">
        <v>0.19666666666666666</v>
      </c>
      <c r="BE4">
        <v>1</v>
      </c>
      <c r="BF4">
        <v>0.33898305084745767</v>
      </c>
      <c r="BZ4">
        <v>1.2448132780082987E-2</v>
      </c>
      <c r="CA4">
        <v>0</v>
      </c>
      <c r="CB4">
        <v>1.2448132780082987E-2</v>
      </c>
    </row>
    <row r="5" spans="2:80" x14ac:dyDescent="0.25">
      <c r="B5" s="23" t="s">
        <v>67</v>
      </c>
      <c r="C5" s="19"/>
      <c r="D5" s="23" t="s">
        <v>68</v>
      </c>
      <c r="E5" s="19"/>
      <c r="F5" s="23" t="s">
        <v>69</v>
      </c>
      <c r="G5" s="19"/>
      <c r="H5" s="23" t="s">
        <v>70</v>
      </c>
      <c r="I5" s="19"/>
      <c r="J5" s="17"/>
      <c r="K5" s="19"/>
      <c r="N5" s="7">
        <v>0</v>
      </c>
      <c r="O5" s="7">
        <v>0</v>
      </c>
      <c r="P5" s="7">
        <v>0</v>
      </c>
      <c r="Q5" s="7">
        <v>0</v>
      </c>
      <c r="AZ5" s="24">
        <v>2</v>
      </c>
      <c r="BA5" s="24">
        <v>0.28943168192732205</v>
      </c>
      <c r="BB5" s="24">
        <v>0</v>
      </c>
      <c r="BC5" s="24">
        <v>0</v>
      </c>
      <c r="BD5" s="24">
        <v>0.39333333333333331</v>
      </c>
      <c r="BE5">
        <v>2</v>
      </c>
      <c r="BF5">
        <v>0.33898305084745767</v>
      </c>
      <c r="BZ5">
        <v>2.4896265560165973E-2</v>
      </c>
      <c r="CA5">
        <v>0</v>
      </c>
      <c r="CB5">
        <v>2.4896265560165973E-2</v>
      </c>
    </row>
    <row r="6" spans="2:80" x14ac:dyDescent="0.25">
      <c r="AZ6" s="24">
        <v>3</v>
      </c>
      <c r="BA6" s="24">
        <v>0.28813723263704072</v>
      </c>
      <c r="BB6" s="24">
        <v>0</v>
      </c>
      <c r="BC6" s="24">
        <v>0</v>
      </c>
      <c r="BD6" s="24">
        <v>0.59</v>
      </c>
      <c r="BE6">
        <v>3</v>
      </c>
      <c r="BF6">
        <v>1.5254237288135595</v>
      </c>
      <c r="BZ6">
        <v>3.3195020746887967E-2</v>
      </c>
      <c r="CA6">
        <v>1.6949152542372881E-2</v>
      </c>
      <c r="CB6">
        <v>3.3195020746887967E-2</v>
      </c>
    </row>
    <row r="7" spans="2:80" x14ac:dyDescent="0.25">
      <c r="AZ7" s="24">
        <v>4</v>
      </c>
      <c r="BA7" s="24">
        <v>0.27790687987271895</v>
      </c>
      <c r="BB7" s="24">
        <v>0</v>
      </c>
      <c r="BC7" s="24">
        <v>0</v>
      </c>
      <c r="BD7" s="24">
        <v>0.78666666666666663</v>
      </c>
      <c r="BE7">
        <v>4</v>
      </c>
      <c r="BF7">
        <v>1.6949152542372883</v>
      </c>
      <c r="BZ7">
        <v>3.7344398340248962E-2</v>
      </c>
      <c r="CA7">
        <v>1.6949152542372881E-2</v>
      </c>
      <c r="CB7">
        <v>3.7344398340248962E-2</v>
      </c>
    </row>
    <row r="8" spans="2:80" x14ac:dyDescent="0.25">
      <c r="AZ8" s="24">
        <v>5</v>
      </c>
      <c r="BA8" s="24">
        <v>0.27790687987271895</v>
      </c>
      <c r="BB8" s="24">
        <v>0</v>
      </c>
      <c r="BC8" s="24">
        <v>0</v>
      </c>
      <c r="BD8" s="24">
        <v>0.98333333333333328</v>
      </c>
      <c r="BE8">
        <v>5</v>
      </c>
      <c r="BF8">
        <v>1.8644067796610171</v>
      </c>
      <c r="BZ8">
        <v>4.5643153526970952E-2</v>
      </c>
      <c r="CA8">
        <v>1.6949152542372881E-2</v>
      </c>
      <c r="CB8">
        <v>4.5643153526970952E-2</v>
      </c>
    </row>
    <row r="9" spans="2:80" x14ac:dyDescent="0.25">
      <c r="AZ9" s="24">
        <v>6</v>
      </c>
      <c r="BA9" s="24">
        <v>0.27790687987271895</v>
      </c>
      <c r="BB9" s="24">
        <v>0</v>
      </c>
      <c r="BC9" s="24">
        <v>0</v>
      </c>
      <c r="BD9" s="24">
        <v>1.18</v>
      </c>
      <c r="BE9">
        <v>6</v>
      </c>
      <c r="BF9">
        <v>1.8644067796610171</v>
      </c>
      <c r="BZ9">
        <v>5.8091286307053944E-2</v>
      </c>
      <c r="CA9">
        <v>1.6949152542372881E-2</v>
      </c>
      <c r="CB9">
        <v>5.8091286307053944E-2</v>
      </c>
    </row>
    <row r="10" spans="2:80" x14ac:dyDescent="0.25">
      <c r="AZ10" s="24">
        <v>7</v>
      </c>
      <c r="BA10" s="24">
        <v>0.2766439066661347</v>
      </c>
      <c r="BB10" s="24">
        <v>0</v>
      </c>
      <c r="BC10" s="24">
        <v>0</v>
      </c>
      <c r="BD10" s="24">
        <v>1.3766666666666665</v>
      </c>
      <c r="BE10">
        <v>7</v>
      </c>
      <c r="BF10">
        <v>1.8644067796610171</v>
      </c>
      <c r="BZ10">
        <v>7.0539419087136929E-2</v>
      </c>
      <c r="CA10">
        <v>1.6949152542372881E-2</v>
      </c>
      <c r="CB10">
        <v>7.0539419087136929E-2</v>
      </c>
    </row>
    <row r="11" spans="2:80" x14ac:dyDescent="0.25">
      <c r="AZ11" s="24">
        <v>8</v>
      </c>
      <c r="BA11" s="24">
        <v>0.2766439066661347</v>
      </c>
      <c r="BB11" s="24">
        <v>1</v>
      </c>
      <c r="BC11" s="24">
        <v>1</v>
      </c>
      <c r="BD11" s="24">
        <v>1.5733333333333333</v>
      </c>
      <c r="BE11">
        <v>8</v>
      </c>
      <c r="BF11">
        <v>0.50847457627118653</v>
      </c>
      <c r="BZ11">
        <v>7.4688796680497924E-2</v>
      </c>
      <c r="CA11">
        <v>1.6949152542372881E-2</v>
      </c>
      <c r="CB11">
        <v>7.4688796680497924E-2</v>
      </c>
    </row>
    <row r="12" spans="2:80" x14ac:dyDescent="0.25">
      <c r="AZ12" s="24">
        <v>9</v>
      </c>
      <c r="BA12" s="24">
        <v>0.2766439066661347</v>
      </c>
      <c r="BB12" s="24">
        <v>0</v>
      </c>
      <c r="BC12" s="24">
        <v>1</v>
      </c>
      <c r="BD12" s="24">
        <v>1.77</v>
      </c>
      <c r="BE12">
        <v>9</v>
      </c>
      <c r="BF12">
        <v>0</v>
      </c>
      <c r="BZ12">
        <v>8.7136929460580909E-2</v>
      </c>
      <c r="CA12">
        <v>1.6949152542372881E-2</v>
      </c>
      <c r="CB12">
        <v>8.7136929460580909E-2</v>
      </c>
    </row>
    <row r="13" spans="2:80" x14ac:dyDescent="0.25">
      <c r="AZ13" s="24">
        <v>10</v>
      </c>
      <c r="BA13" s="24">
        <v>0.27412862245770181</v>
      </c>
      <c r="BB13" s="24">
        <v>0</v>
      </c>
      <c r="BC13" s="24">
        <v>1</v>
      </c>
      <c r="BD13" s="24">
        <v>1.9666666666666666</v>
      </c>
      <c r="BE13">
        <v>10</v>
      </c>
      <c r="BF13">
        <v>0</v>
      </c>
      <c r="BZ13">
        <v>9.1286307053941904E-2</v>
      </c>
      <c r="CA13">
        <v>1.6949152542372881E-2</v>
      </c>
      <c r="CB13">
        <v>9.1286307053941904E-2</v>
      </c>
    </row>
    <row r="14" spans="2:80" x14ac:dyDescent="0.25">
      <c r="AZ14" s="24">
        <v>11</v>
      </c>
      <c r="BA14" s="24">
        <v>0.27287633116701449</v>
      </c>
      <c r="BB14" s="24">
        <v>0</v>
      </c>
      <c r="BC14" s="24">
        <v>1</v>
      </c>
      <c r="BD14" s="24">
        <v>2.1633333333333331</v>
      </c>
      <c r="BZ14">
        <v>9.1286307053941904E-2</v>
      </c>
      <c r="CA14">
        <v>3.3898305084745763E-2</v>
      </c>
      <c r="CB14">
        <v>9.1286307053941904E-2</v>
      </c>
    </row>
    <row r="15" spans="2:80" x14ac:dyDescent="0.25">
      <c r="AZ15" s="24">
        <v>12</v>
      </c>
      <c r="BA15" s="24">
        <v>0.27287633116701449</v>
      </c>
      <c r="BB15" s="24">
        <v>0</v>
      </c>
      <c r="BC15" s="24">
        <v>1</v>
      </c>
      <c r="BD15" s="24">
        <v>2.36</v>
      </c>
      <c r="BZ15">
        <v>0.1037344398340249</v>
      </c>
      <c r="CA15">
        <v>3.3898305084745763E-2</v>
      </c>
      <c r="CB15">
        <v>0.1037344398340249</v>
      </c>
    </row>
    <row r="16" spans="2:80" x14ac:dyDescent="0.25">
      <c r="AZ16" s="24">
        <v>13</v>
      </c>
      <c r="BA16" s="24">
        <v>0.27038249801385822</v>
      </c>
      <c r="BB16" s="24">
        <v>0</v>
      </c>
      <c r="BC16" s="24">
        <v>1</v>
      </c>
      <c r="BD16" s="24">
        <v>2.5566666666666666</v>
      </c>
      <c r="BZ16">
        <v>0.1078838174273859</v>
      </c>
      <c r="CA16">
        <v>3.3898305084745763E-2</v>
      </c>
      <c r="CB16">
        <v>0.1078838174273859</v>
      </c>
    </row>
    <row r="17" spans="52:80" x14ac:dyDescent="0.25">
      <c r="AZ17" s="24">
        <v>14</v>
      </c>
      <c r="BA17" s="24">
        <v>0.27038249801385822</v>
      </c>
      <c r="BB17" s="24">
        <v>0</v>
      </c>
      <c r="BC17" s="24">
        <v>1</v>
      </c>
      <c r="BD17" s="24">
        <v>2.753333333333333</v>
      </c>
      <c r="BZ17">
        <v>0.11618257261410789</v>
      </c>
      <c r="CA17">
        <v>3.3898305084745763E-2</v>
      </c>
      <c r="CB17">
        <v>0.11618257261410789</v>
      </c>
    </row>
    <row r="18" spans="52:80" x14ac:dyDescent="0.25">
      <c r="AZ18" s="24">
        <v>15</v>
      </c>
      <c r="BA18" s="24">
        <v>0.27038249801385822</v>
      </c>
      <c r="BB18" s="24">
        <v>0</v>
      </c>
      <c r="BC18" s="24">
        <v>1</v>
      </c>
      <c r="BD18" s="24">
        <v>2.9499999999999997</v>
      </c>
      <c r="BZ18">
        <v>0.12033195020746888</v>
      </c>
      <c r="CA18">
        <v>3.3898305084745763E-2</v>
      </c>
      <c r="CB18">
        <v>0.12033195020746888</v>
      </c>
    </row>
    <row r="19" spans="52:80" x14ac:dyDescent="0.25">
      <c r="AZ19" s="24">
        <v>16</v>
      </c>
      <c r="BA19" s="24">
        <v>0.26914097468300807</v>
      </c>
      <c r="BB19" s="24">
        <v>0</v>
      </c>
      <c r="BC19" s="24">
        <v>1</v>
      </c>
      <c r="BD19" s="24">
        <v>3.1466666666666665</v>
      </c>
      <c r="BZ19">
        <v>0.12448132780082988</v>
      </c>
      <c r="CA19">
        <v>3.3898305084745763E-2</v>
      </c>
      <c r="CB19">
        <v>0.12448132780082988</v>
      </c>
    </row>
    <row r="20" spans="52:80" x14ac:dyDescent="0.25">
      <c r="AZ20" s="24">
        <v>17</v>
      </c>
      <c r="BA20" s="24">
        <v>0.26914097468300807</v>
      </c>
      <c r="BB20" s="24">
        <v>0</v>
      </c>
      <c r="BC20" s="24">
        <v>1</v>
      </c>
      <c r="BD20" s="24">
        <v>3.3433333333333333</v>
      </c>
      <c r="BZ20">
        <v>0.13278008298755187</v>
      </c>
      <c r="CA20">
        <v>3.3898305084745763E-2</v>
      </c>
      <c r="CB20">
        <v>0.13278008298755187</v>
      </c>
    </row>
    <row r="21" spans="52:80" x14ac:dyDescent="0.25">
      <c r="AZ21" s="24">
        <v>18</v>
      </c>
      <c r="BA21" s="24">
        <v>0.26914097468300807</v>
      </c>
      <c r="BB21" s="24">
        <v>0</v>
      </c>
      <c r="BC21" s="24">
        <v>1</v>
      </c>
      <c r="BD21" s="24">
        <v>3.54</v>
      </c>
      <c r="BZ21">
        <v>0.14107883817427386</v>
      </c>
      <c r="CA21">
        <v>3.3898305084745763E-2</v>
      </c>
      <c r="CB21">
        <v>0.14107883817427386</v>
      </c>
    </row>
    <row r="22" spans="52:80" x14ac:dyDescent="0.25">
      <c r="AZ22" s="24">
        <v>19</v>
      </c>
      <c r="BA22" s="24">
        <v>0.26790305887767224</v>
      </c>
      <c r="BB22" s="24">
        <v>0</v>
      </c>
      <c r="BC22" s="24">
        <v>1</v>
      </c>
      <c r="BD22" s="24">
        <v>3.7366666666666664</v>
      </c>
      <c r="BZ22">
        <v>0.14522821576763487</v>
      </c>
      <c r="CA22">
        <v>3.3898305084745763E-2</v>
      </c>
      <c r="CB22">
        <v>0.14522821576763487</v>
      </c>
    </row>
    <row r="23" spans="52:80" x14ac:dyDescent="0.25">
      <c r="AZ23" s="24">
        <v>20</v>
      </c>
      <c r="BA23" s="24">
        <v>0.26666875937531981</v>
      </c>
      <c r="BB23" s="24">
        <v>0</v>
      </c>
      <c r="BC23" s="24">
        <v>1</v>
      </c>
      <c r="BD23" s="24">
        <v>3.9333333333333331</v>
      </c>
      <c r="BZ23">
        <v>0.15352697095435686</v>
      </c>
      <c r="CA23">
        <v>5.0847457627118647E-2</v>
      </c>
      <c r="CB23">
        <v>0.15352697095435686</v>
      </c>
    </row>
    <row r="24" spans="52:80" x14ac:dyDescent="0.25">
      <c r="AZ24" s="24">
        <v>21</v>
      </c>
      <c r="BA24" s="24">
        <v>0.26666875937531981</v>
      </c>
      <c r="BB24" s="24">
        <v>0</v>
      </c>
      <c r="BC24" s="24">
        <v>1</v>
      </c>
      <c r="BD24" s="24">
        <v>4.13</v>
      </c>
      <c r="BZ24">
        <v>0.15767634854771784</v>
      </c>
      <c r="CA24">
        <v>5.0847457627118647E-2</v>
      </c>
      <c r="CB24">
        <v>0.15767634854771784</v>
      </c>
    </row>
    <row r="25" spans="52:80" x14ac:dyDescent="0.25">
      <c r="AZ25" s="24">
        <v>22</v>
      </c>
      <c r="BA25" s="24">
        <v>0.26666875937531981</v>
      </c>
      <c r="BB25" s="24">
        <v>0</v>
      </c>
      <c r="BC25" s="24">
        <v>1</v>
      </c>
      <c r="BD25" s="24">
        <v>4.3266666666666662</v>
      </c>
      <c r="BZ25">
        <v>0.16182572614107885</v>
      </c>
      <c r="CA25">
        <v>5.0847457627118647E-2</v>
      </c>
      <c r="CB25">
        <v>0.16182572614107885</v>
      </c>
    </row>
    <row r="26" spans="52:80" x14ac:dyDescent="0.25">
      <c r="AZ26" s="24">
        <v>23</v>
      </c>
      <c r="BA26" s="24">
        <v>0.26421104341782214</v>
      </c>
      <c r="BB26" s="24">
        <v>0</v>
      </c>
      <c r="BC26" s="24">
        <v>1</v>
      </c>
      <c r="BD26" s="24">
        <v>4.5233333333333334</v>
      </c>
      <c r="BZ26">
        <v>0.17012448132780084</v>
      </c>
      <c r="CA26">
        <v>5.0847457627118647E-2</v>
      </c>
      <c r="CB26">
        <v>0.17012448132780084</v>
      </c>
    </row>
    <row r="27" spans="52:80" x14ac:dyDescent="0.25">
      <c r="AZ27" s="24">
        <v>24</v>
      </c>
      <c r="BA27" s="24">
        <v>0.26298764354760773</v>
      </c>
      <c r="BB27" s="24">
        <v>1</v>
      </c>
      <c r="BC27" s="24">
        <v>2</v>
      </c>
      <c r="BD27" s="24">
        <v>4.72</v>
      </c>
      <c r="BZ27">
        <v>0.17842323651452283</v>
      </c>
      <c r="CA27">
        <v>5.0847457627118647E-2</v>
      </c>
      <c r="CB27">
        <v>0.17842323651452283</v>
      </c>
    </row>
    <row r="28" spans="52:80" x14ac:dyDescent="0.25">
      <c r="AZ28" s="24">
        <v>25</v>
      </c>
      <c r="BA28" s="24">
        <v>0.26055180003985812</v>
      </c>
      <c r="BB28" s="24">
        <v>0</v>
      </c>
      <c r="BC28" s="24">
        <v>2</v>
      </c>
      <c r="BD28" s="24">
        <v>4.9166666666666661</v>
      </c>
      <c r="BZ28">
        <v>0.19502074688796681</v>
      </c>
      <c r="CA28">
        <v>5.0847457627118647E-2</v>
      </c>
      <c r="CB28">
        <v>0.19502074688796681</v>
      </c>
    </row>
    <row r="29" spans="52:80" x14ac:dyDescent="0.25">
      <c r="AZ29" s="24">
        <v>26</v>
      </c>
      <c r="BA29" s="24">
        <v>0.26055180003985812</v>
      </c>
      <c r="BB29" s="24">
        <v>0</v>
      </c>
      <c r="BC29" s="24">
        <v>2</v>
      </c>
      <c r="BD29" s="24">
        <v>5.1133333333333333</v>
      </c>
      <c r="BZ29">
        <v>0.19917012448132779</v>
      </c>
      <c r="CA29">
        <v>6.7796610169491525E-2</v>
      </c>
      <c r="CB29">
        <v>0.19917012448132779</v>
      </c>
    </row>
    <row r="30" spans="52:80" x14ac:dyDescent="0.25">
      <c r="AZ30" s="24">
        <v>27</v>
      </c>
      <c r="BA30" s="24">
        <v>0.26055180003985812</v>
      </c>
      <c r="BB30" s="24">
        <v>0</v>
      </c>
      <c r="BC30" s="24">
        <v>2</v>
      </c>
      <c r="BD30" s="24">
        <v>5.31</v>
      </c>
      <c r="BZ30">
        <v>0.2033195020746888</v>
      </c>
      <c r="CA30">
        <v>6.7796610169491525E-2</v>
      </c>
      <c r="CB30">
        <v>0.2033195020746888</v>
      </c>
    </row>
    <row r="31" spans="52:80" x14ac:dyDescent="0.25">
      <c r="AZ31" s="24">
        <v>28</v>
      </c>
      <c r="BA31" s="24">
        <v>0.25933937183232669</v>
      </c>
      <c r="BB31" s="24">
        <v>0</v>
      </c>
      <c r="BC31" s="24">
        <v>2</v>
      </c>
      <c r="BD31" s="24">
        <v>5.5066666666666659</v>
      </c>
      <c r="BZ31">
        <v>0.21991701244813278</v>
      </c>
      <c r="CA31">
        <v>6.7796610169491525E-2</v>
      </c>
      <c r="CB31">
        <v>0.21991701244813278</v>
      </c>
    </row>
    <row r="32" spans="52:80" x14ac:dyDescent="0.25">
      <c r="AZ32" s="24">
        <v>29</v>
      </c>
      <c r="BA32" s="24">
        <v>0.25813061595697051</v>
      </c>
      <c r="BB32" s="24">
        <v>0</v>
      </c>
      <c r="BC32" s="24">
        <v>2</v>
      </c>
      <c r="BD32" s="24">
        <v>5.7033333333333331</v>
      </c>
      <c r="BZ32">
        <v>0.23236514522821577</v>
      </c>
      <c r="CA32">
        <v>6.7796610169491525E-2</v>
      </c>
      <c r="CB32">
        <v>0.23236514522821577</v>
      </c>
    </row>
    <row r="33" spans="9:80" x14ac:dyDescent="0.25">
      <c r="AZ33" s="24">
        <v>30</v>
      </c>
      <c r="BA33" s="24">
        <v>0.25813061595697051</v>
      </c>
      <c r="BB33" s="24">
        <v>0</v>
      </c>
      <c r="BC33" s="24">
        <v>2</v>
      </c>
      <c r="BD33" s="24">
        <v>5.8999999999999995</v>
      </c>
      <c r="BZ33">
        <v>0.24066390041493776</v>
      </c>
      <c r="CA33">
        <v>6.7796610169491525E-2</v>
      </c>
      <c r="CB33">
        <v>0.24066390041493776</v>
      </c>
    </row>
    <row r="34" spans="9:80" x14ac:dyDescent="0.25">
      <c r="AZ34" s="25">
        <v>31</v>
      </c>
      <c r="BA34" s="25">
        <v>0.25692553965164677</v>
      </c>
      <c r="BB34" s="25">
        <v>0</v>
      </c>
      <c r="BC34" s="25">
        <v>2</v>
      </c>
      <c r="BD34" s="25">
        <v>6.0966666666666667</v>
      </c>
      <c r="BZ34">
        <v>0.24481327800829875</v>
      </c>
      <c r="CA34">
        <v>8.4745762711864403E-2</v>
      </c>
      <c r="CB34">
        <v>0.24481327800829875</v>
      </c>
    </row>
    <row r="35" spans="9:80" x14ac:dyDescent="0.25">
      <c r="AZ35" s="25">
        <v>32</v>
      </c>
      <c r="BA35" s="25">
        <v>0.25572414996450488</v>
      </c>
      <c r="BB35" s="25">
        <v>0</v>
      </c>
      <c r="BC35" s="25">
        <v>2</v>
      </c>
      <c r="BD35" s="25">
        <v>6.293333333333333</v>
      </c>
      <c r="BZ35">
        <v>0.24896265560165975</v>
      </c>
      <c r="CA35">
        <v>0.10169491525423729</v>
      </c>
      <c r="CB35">
        <v>0.24896265560165975</v>
      </c>
    </row>
    <row r="36" spans="9:80" x14ac:dyDescent="0.25">
      <c r="AZ36" s="25">
        <v>33</v>
      </c>
      <c r="BA36" s="25">
        <v>0.25452645375464944</v>
      </c>
      <c r="BB36" s="25">
        <v>0</v>
      </c>
      <c r="BC36" s="25">
        <v>2</v>
      </c>
      <c r="BD36" s="25">
        <v>6.4899999999999993</v>
      </c>
      <c r="BZ36">
        <v>0.25311203319502074</v>
      </c>
      <c r="CA36">
        <v>0.10169491525423729</v>
      </c>
      <c r="CB36">
        <v>0.25311203319502074</v>
      </c>
    </row>
    <row r="37" spans="9:80" x14ac:dyDescent="0.25">
      <c r="AZ37" s="25">
        <v>34</v>
      </c>
      <c r="BA37" s="25">
        <v>0.25452645375464944</v>
      </c>
      <c r="BB37" s="25">
        <v>0</v>
      </c>
      <c r="BC37" s="25">
        <v>2</v>
      </c>
      <c r="BD37" s="25">
        <v>6.6866666666666665</v>
      </c>
      <c r="BZ37">
        <v>0.26141078838174275</v>
      </c>
      <c r="CA37">
        <v>0.10169491525423729</v>
      </c>
      <c r="CB37">
        <v>0.26141078838174275</v>
      </c>
    </row>
    <row r="38" spans="9:80" x14ac:dyDescent="0.25">
      <c r="I38" s="10" t="s">
        <v>57</v>
      </c>
      <c r="J38" s="10" t="s">
        <v>58</v>
      </c>
      <c r="K38" s="10" t="s">
        <v>59</v>
      </c>
      <c r="L38" s="10" t="s">
        <v>60</v>
      </c>
      <c r="M38" s="10" t="s">
        <v>61</v>
      </c>
      <c r="AZ38" s="25">
        <v>35</v>
      </c>
      <c r="BA38" s="25">
        <v>0.25214216826208485</v>
      </c>
      <c r="BB38" s="25">
        <v>0</v>
      </c>
      <c r="BC38" s="25">
        <v>2</v>
      </c>
      <c r="BD38" s="25">
        <v>6.8833333333333329</v>
      </c>
      <c r="BZ38">
        <v>0.26141078838174275</v>
      </c>
      <c r="CA38">
        <v>0.11864406779661017</v>
      </c>
      <c r="CB38">
        <v>0.26141078838174275</v>
      </c>
    </row>
    <row r="39" spans="9:80" x14ac:dyDescent="0.25">
      <c r="I39" s="9">
        <v>1</v>
      </c>
      <c r="J39" s="7">
        <v>6.6666666666666666E-2</v>
      </c>
      <c r="K39" s="7">
        <v>0.25370813170246248</v>
      </c>
      <c r="L39" s="7">
        <v>0</v>
      </c>
      <c r="M39" s="7">
        <v>1</v>
      </c>
      <c r="AZ39" s="25">
        <v>36</v>
      </c>
      <c r="BA39" s="25">
        <v>0.25214216826208485</v>
      </c>
      <c r="BB39" s="25">
        <v>0</v>
      </c>
      <c r="BC39" s="25">
        <v>2</v>
      </c>
      <c r="BD39" s="25">
        <v>7.08</v>
      </c>
      <c r="BZ39">
        <v>0.26141078838174275</v>
      </c>
      <c r="CA39">
        <v>0.13559322033898305</v>
      </c>
      <c r="CB39">
        <v>0.26141078838174275</v>
      </c>
    </row>
    <row r="40" spans="9:80" x14ac:dyDescent="0.25">
      <c r="I40" s="9">
        <v>2</v>
      </c>
      <c r="J40" s="7">
        <v>6.6666666666666666E-2</v>
      </c>
      <c r="K40" s="7">
        <v>0.25370813170246248</v>
      </c>
      <c r="L40" s="7">
        <v>0</v>
      </c>
      <c r="M40" s="7">
        <v>1</v>
      </c>
      <c r="AZ40" s="25">
        <v>37</v>
      </c>
      <c r="BA40" s="25">
        <v>0.25095559175855048</v>
      </c>
      <c r="BB40" s="25">
        <v>0</v>
      </c>
      <c r="BC40" s="25">
        <v>2</v>
      </c>
      <c r="BD40" s="25">
        <v>7.2766666666666664</v>
      </c>
      <c r="BZ40">
        <v>0.26556016597510373</v>
      </c>
      <c r="CA40">
        <v>0.13559322033898305</v>
      </c>
      <c r="CB40">
        <v>0.26556016597510373</v>
      </c>
    </row>
    <row r="41" spans="9:80" x14ac:dyDescent="0.25">
      <c r="I41" s="9">
        <v>3</v>
      </c>
      <c r="J41" s="7">
        <v>0.3</v>
      </c>
      <c r="K41" s="7">
        <v>0.46609159969939901</v>
      </c>
      <c r="L41" s="7">
        <v>0</v>
      </c>
      <c r="M41" s="7">
        <v>1</v>
      </c>
      <c r="AZ41" s="25">
        <v>38</v>
      </c>
      <c r="BA41" s="25">
        <v>0.2497727342920856</v>
      </c>
      <c r="BB41" s="25">
        <v>0</v>
      </c>
      <c r="BC41" s="25">
        <v>2</v>
      </c>
      <c r="BD41" s="25">
        <v>7.4733333333333327</v>
      </c>
      <c r="BZ41">
        <v>0.26970954356846472</v>
      </c>
      <c r="CA41">
        <v>0.13559322033898305</v>
      </c>
      <c r="CB41">
        <v>0.26970954356846472</v>
      </c>
    </row>
    <row r="42" spans="9:80" x14ac:dyDescent="0.25">
      <c r="I42" s="9">
        <v>4</v>
      </c>
      <c r="J42" s="7">
        <v>0.33333333333333331</v>
      </c>
      <c r="K42" s="7">
        <v>0.47946330148538413</v>
      </c>
      <c r="L42" s="7">
        <v>0</v>
      </c>
      <c r="M42" s="7">
        <v>1</v>
      </c>
      <c r="AZ42" s="25">
        <v>39</v>
      </c>
      <c r="BA42" s="25">
        <v>0.2497727342920856</v>
      </c>
      <c r="BB42" s="25">
        <v>1</v>
      </c>
      <c r="BC42" s="25">
        <v>3</v>
      </c>
      <c r="BD42" s="25">
        <v>7.67</v>
      </c>
      <c r="BZ42">
        <v>0.28215767634854771</v>
      </c>
      <c r="CA42">
        <v>0.13559322033898305</v>
      </c>
      <c r="CB42">
        <v>0.28215767634854771</v>
      </c>
    </row>
    <row r="43" spans="9:80" x14ac:dyDescent="0.25">
      <c r="I43" s="9">
        <v>5</v>
      </c>
      <c r="J43" s="7">
        <v>0.36666666666666664</v>
      </c>
      <c r="K43" s="7">
        <v>0.49013251785356082</v>
      </c>
      <c r="L43" s="7">
        <v>0</v>
      </c>
      <c r="M43" s="7">
        <v>1</v>
      </c>
      <c r="AZ43" s="25">
        <v>40</v>
      </c>
      <c r="BA43" s="25">
        <v>0.2497727342920856</v>
      </c>
      <c r="BB43" s="25">
        <v>0</v>
      </c>
      <c r="BC43" s="25">
        <v>3</v>
      </c>
      <c r="BD43" s="25">
        <v>7.8666666666666663</v>
      </c>
      <c r="BZ43">
        <v>0.28215767634854771</v>
      </c>
      <c r="CA43">
        <v>0.15254237288135594</v>
      </c>
      <c r="CB43">
        <v>0.28215767634854771</v>
      </c>
    </row>
    <row r="44" spans="9:80" x14ac:dyDescent="0.25">
      <c r="I44" s="9">
        <v>6</v>
      </c>
      <c r="J44" s="7">
        <v>0.36666666666666664</v>
      </c>
      <c r="K44" s="7">
        <v>0.49013251785356088</v>
      </c>
      <c r="L44" s="7">
        <v>0</v>
      </c>
      <c r="M44" s="7">
        <v>1</v>
      </c>
      <c r="AZ44" s="25">
        <v>41</v>
      </c>
      <c r="BA44" s="25">
        <v>0.24859360178706014</v>
      </c>
      <c r="BB44" s="25">
        <v>0</v>
      </c>
      <c r="BC44" s="25">
        <v>3</v>
      </c>
      <c r="BD44" s="25">
        <v>8.0633333333333326</v>
      </c>
      <c r="BZ44">
        <v>0.2863070539419087</v>
      </c>
      <c r="CA44">
        <v>0.15254237288135594</v>
      </c>
      <c r="CB44">
        <v>0.2863070539419087</v>
      </c>
    </row>
    <row r="45" spans="9:80" x14ac:dyDescent="0.25">
      <c r="I45" s="9">
        <v>7</v>
      </c>
      <c r="J45" s="7">
        <v>0.36666666666666664</v>
      </c>
      <c r="K45" s="7">
        <v>0.49013251785356077</v>
      </c>
      <c r="L45" s="7">
        <v>0</v>
      </c>
      <c r="M45" s="7">
        <v>1</v>
      </c>
      <c r="AZ45" s="25">
        <v>42</v>
      </c>
      <c r="BA45" s="25">
        <v>0.24507861051774574</v>
      </c>
      <c r="BB45" s="25">
        <v>0</v>
      </c>
      <c r="BC45" s="25">
        <v>3</v>
      </c>
      <c r="BD45" s="25">
        <v>8.26</v>
      </c>
      <c r="BZ45">
        <v>0.29460580912863071</v>
      </c>
      <c r="CA45">
        <v>0.15254237288135594</v>
      </c>
      <c r="CB45">
        <v>0.29460580912863071</v>
      </c>
    </row>
    <row r="46" spans="9:80" x14ac:dyDescent="0.25">
      <c r="I46" s="9">
        <v>8</v>
      </c>
      <c r="J46" s="7">
        <v>0.1</v>
      </c>
      <c r="K46" s="7">
        <v>0.30512857662936466</v>
      </c>
      <c r="L46" s="7">
        <v>0</v>
      </c>
      <c r="M46" s="7">
        <v>1</v>
      </c>
      <c r="AZ46" s="25">
        <v>43</v>
      </c>
      <c r="BA46" s="25">
        <v>0.24391443341884703</v>
      </c>
      <c r="BB46" s="25">
        <v>0</v>
      </c>
      <c r="BC46" s="25">
        <v>3</v>
      </c>
      <c r="BD46" s="25">
        <v>8.456666666666667</v>
      </c>
      <c r="BZ46">
        <v>0.29875518672199169</v>
      </c>
      <c r="CA46">
        <v>0.15254237288135594</v>
      </c>
      <c r="CB46">
        <v>0.29875518672199169</v>
      </c>
    </row>
    <row r="47" spans="9:80" x14ac:dyDescent="0.25">
      <c r="I47" s="9">
        <v>9</v>
      </c>
      <c r="J47" s="7">
        <v>0</v>
      </c>
      <c r="K47" s="7">
        <v>0</v>
      </c>
      <c r="L47" s="7">
        <v>0</v>
      </c>
      <c r="M47" s="7">
        <v>0</v>
      </c>
      <c r="AZ47" s="25">
        <v>44</v>
      </c>
      <c r="BA47" s="25">
        <v>0.24391443341884703</v>
      </c>
      <c r="BB47" s="25">
        <v>0</v>
      </c>
      <c r="BC47" s="25">
        <v>3</v>
      </c>
      <c r="BD47" s="25">
        <v>8.6533333333333324</v>
      </c>
      <c r="BZ47">
        <v>0.30290456431535268</v>
      </c>
      <c r="CA47">
        <v>0.15254237288135594</v>
      </c>
      <c r="CB47">
        <v>0.30290456431535268</v>
      </c>
    </row>
    <row r="48" spans="9:80" x14ac:dyDescent="0.25">
      <c r="I48" s="9">
        <v>10</v>
      </c>
      <c r="J48" s="7">
        <v>0</v>
      </c>
      <c r="K48" s="7">
        <v>0</v>
      </c>
      <c r="L48" s="7">
        <v>0</v>
      </c>
      <c r="M48" s="7">
        <v>0</v>
      </c>
      <c r="AZ48" s="25">
        <v>45</v>
      </c>
      <c r="BA48" s="25">
        <v>0.24159733953166854</v>
      </c>
      <c r="BB48" s="25">
        <v>0</v>
      </c>
      <c r="BC48" s="25">
        <v>3</v>
      </c>
      <c r="BD48" s="25">
        <v>8.85</v>
      </c>
      <c r="BZ48">
        <v>0.30705394190871371</v>
      </c>
      <c r="CA48">
        <v>0.15254237288135594</v>
      </c>
      <c r="CB48">
        <v>0.30705394190871371</v>
      </c>
    </row>
    <row r="49" spans="52:80" x14ac:dyDescent="0.25">
      <c r="AZ49" s="25">
        <v>46</v>
      </c>
      <c r="BA49" s="25">
        <v>0.24159733953166854</v>
      </c>
      <c r="BB49" s="25">
        <v>0</v>
      </c>
      <c r="BC49" s="25">
        <v>3</v>
      </c>
      <c r="BD49" s="25">
        <v>9.0466666666666669</v>
      </c>
      <c r="BZ49">
        <v>0.31120331950207469</v>
      </c>
      <c r="CA49">
        <v>0.1864406779661017</v>
      </c>
      <c r="CB49">
        <v>0.31120331950207469</v>
      </c>
    </row>
    <row r="50" spans="52:80" x14ac:dyDescent="0.25">
      <c r="AZ50" s="25">
        <v>47</v>
      </c>
      <c r="BA50" s="25">
        <v>0.24044443221879749</v>
      </c>
      <c r="BB50" s="25">
        <v>0</v>
      </c>
      <c r="BC50" s="25">
        <v>3</v>
      </c>
      <c r="BD50" s="25">
        <v>9.2433333333333323</v>
      </c>
      <c r="BZ50">
        <v>0.31120331950207469</v>
      </c>
      <c r="CA50">
        <v>0.20338983050847459</v>
      </c>
      <c r="CB50">
        <v>0.31120331950207469</v>
      </c>
    </row>
    <row r="51" spans="52:80" x14ac:dyDescent="0.25">
      <c r="AZ51" s="25">
        <v>48</v>
      </c>
      <c r="BA51" s="25">
        <v>0.24044443221879749</v>
      </c>
      <c r="BB51" s="25">
        <v>0</v>
      </c>
      <c r="BC51" s="25">
        <v>3</v>
      </c>
      <c r="BD51" s="25">
        <v>9.44</v>
      </c>
      <c r="BZ51">
        <v>0.32365145228215769</v>
      </c>
      <c r="CA51">
        <v>0.23728813559322035</v>
      </c>
      <c r="CB51">
        <v>0.32365145228215769</v>
      </c>
    </row>
    <row r="52" spans="52:80" x14ac:dyDescent="0.25">
      <c r="AZ52" s="25">
        <v>49</v>
      </c>
      <c r="BA52" s="25">
        <v>0.24044443221879749</v>
      </c>
      <c r="BB52" s="25">
        <v>0</v>
      </c>
      <c r="BC52" s="25">
        <v>3</v>
      </c>
      <c r="BD52" s="25">
        <v>9.6366666666666667</v>
      </c>
      <c r="BZ52">
        <v>0.34024896265560167</v>
      </c>
      <c r="CA52">
        <v>0.23728813559322035</v>
      </c>
      <c r="CB52">
        <v>0.34024896265560167</v>
      </c>
    </row>
    <row r="53" spans="52:80" x14ac:dyDescent="0.25">
      <c r="AZ53" s="25">
        <v>50</v>
      </c>
      <c r="BA53" s="25">
        <v>0.24044443221879749</v>
      </c>
      <c r="BB53" s="25">
        <v>0</v>
      </c>
      <c r="BC53" s="25">
        <v>3</v>
      </c>
      <c r="BD53" s="25">
        <v>9.8333333333333321</v>
      </c>
      <c r="BZ53">
        <v>0.34854771784232363</v>
      </c>
      <c r="CA53">
        <v>0.23728813559322035</v>
      </c>
      <c r="CB53">
        <v>0.34854771784232363</v>
      </c>
    </row>
    <row r="54" spans="52:80" x14ac:dyDescent="0.25">
      <c r="AZ54" s="25">
        <v>51</v>
      </c>
      <c r="BA54" s="25">
        <v>0.23814991919855449</v>
      </c>
      <c r="BB54" s="25">
        <v>1</v>
      </c>
      <c r="BC54" s="25">
        <v>4</v>
      </c>
      <c r="BD54" s="25">
        <v>10.029999999999999</v>
      </c>
      <c r="BZ54">
        <v>0.34854771784232363</v>
      </c>
      <c r="CA54">
        <v>0.25423728813559321</v>
      </c>
      <c r="CB54">
        <v>0.34854771784232363</v>
      </c>
    </row>
    <row r="55" spans="52:80" x14ac:dyDescent="0.25">
      <c r="AZ55" s="25">
        <v>52</v>
      </c>
      <c r="BA55" s="25">
        <v>0.23814991919855449</v>
      </c>
      <c r="BB55" s="25">
        <v>0</v>
      </c>
      <c r="BC55" s="25">
        <v>4</v>
      </c>
      <c r="BD55" s="25">
        <v>10.226666666666667</v>
      </c>
      <c r="BZ55">
        <v>0.35684647302904565</v>
      </c>
      <c r="CA55">
        <v>0.25423728813559321</v>
      </c>
      <c r="CB55">
        <v>0.35684647302904565</v>
      </c>
    </row>
    <row r="56" spans="52:80" x14ac:dyDescent="0.25">
      <c r="AZ56" s="25">
        <v>53</v>
      </c>
      <c r="BA56" s="25">
        <v>0.23700832189463189</v>
      </c>
      <c r="BB56" s="25">
        <v>0</v>
      </c>
      <c r="BC56" s="25">
        <v>4</v>
      </c>
      <c r="BD56" s="25">
        <v>10.423333333333332</v>
      </c>
      <c r="BZ56">
        <v>0.36099585062240663</v>
      </c>
      <c r="CA56">
        <v>0.25423728813559321</v>
      </c>
      <c r="CB56">
        <v>0.36099585062240663</v>
      </c>
    </row>
    <row r="57" spans="52:80" x14ac:dyDescent="0.25">
      <c r="AZ57" s="25">
        <v>54</v>
      </c>
      <c r="BA57" s="25">
        <v>0.23473646538289375</v>
      </c>
      <c r="BB57" s="25">
        <v>0</v>
      </c>
      <c r="BC57" s="25">
        <v>4</v>
      </c>
      <c r="BD57" s="25">
        <v>10.62</v>
      </c>
      <c r="BZ57">
        <v>0.37344398340248963</v>
      </c>
      <c r="CA57">
        <v>0.25423728813559321</v>
      </c>
      <c r="CB57">
        <v>0.37344398340248963</v>
      </c>
    </row>
    <row r="58" spans="52:80" x14ac:dyDescent="0.25">
      <c r="AZ58" s="25">
        <v>55</v>
      </c>
      <c r="BA58" s="25">
        <v>0.23473646538289375</v>
      </c>
      <c r="BB58" s="25">
        <v>0</v>
      </c>
      <c r="BC58" s="25">
        <v>4</v>
      </c>
      <c r="BD58" s="25">
        <v>10.816666666666666</v>
      </c>
      <c r="BZ58">
        <v>0.38174273858921159</v>
      </c>
      <c r="CA58">
        <v>0.28813559322033899</v>
      </c>
      <c r="CB58">
        <v>0.38174273858921159</v>
      </c>
    </row>
    <row r="59" spans="52:80" x14ac:dyDescent="0.25">
      <c r="AZ59" s="25">
        <v>56</v>
      </c>
      <c r="BA59" s="25">
        <v>0.23473646538289375</v>
      </c>
      <c r="BB59" s="25">
        <v>0</v>
      </c>
      <c r="BC59" s="25">
        <v>4</v>
      </c>
      <c r="BD59" s="25">
        <v>11.013333333333332</v>
      </c>
      <c r="BZ59">
        <v>0.38174273858921159</v>
      </c>
      <c r="CA59">
        <v>0.30508474576271188</v>
      </c>
      <c r="CB59">
        <v>0.38174273858921159</v>
      </c>
    </row>
    <row r="60" spans="52:80" x14ac:dyDescent="0.25">
      <c r="AZ60" s="25">
        <v>57</v>
      </c>
      <c r="BA60" s="25">
        <v>0.23473646538289375</v>
      </c>
      <c r="BB60" s="25">
        <v>0</v>
      </c>
      <c r="BC60" s="25">
        <v>4</v>
      </c>
      <c r="BD60" s="25">
        <v>11.209999999999999</v>
      </c>
      <c r="BZ60">
        <v>0.38174273858921159</v>
      </c>
      <c r="CA60">
        <v>0.33898305084745761</v>
      </c>
      <c r="CB60">
        <v>0.38174273858921159</v>
      </c>
    </row>
    <row r="61" spans="52:80" x14ac:dyDescent="0.25">
      <c r="AZ61" s="25">
        <v>58</v>
      </c>
      <c r="BA61" s="25">
        <v>0.23360621352235511</v>
      </c>
      <c r="BB61" s="25">
        <v>0</v>
      </c>
      <c r="BC61" s="25">
        <v>4</v>
      </c>
      <c r="BD61" s="25">
        <v>11.406666666666666</v>
      </c>
      <c r="BZ61">
        <v>0.38589211618257263</v>
      </c>
      <c r="CA61">
        <v>0.33898305084745761</v>
      </c>
      <c r="CB61">
        <v>0.38589211618257263</v>
      </c>
    </row>
    <row r="62" spans="52:80" x14ac:dyDescent="0.25">
      <c r="AZ62" s="25">
        <v>59</v>
      </c>
      <c r="BA62" s="25">
        <v>0.23360621352235511</v>
      </c>
      <c r="BB62" s="25">
        <v>0</v>
      </c>
      <c r="BC62" s="25">
        <v>4</v>
      </c>
      <c r="BD62" s="25">
        <v>11.603333333333333</v>
      </c>
      <c r="BZ62">
        <v>0.39004149377593361</v>
      </c>
      <c r="CA62">
        <v>0.33898305084745761</v>
      </c>
      <c r="CB62">
        <v>0.39004149377593361</v>
      </c>
    </row>
    <row r="63" spans="52:80" x14ac:dyDescent="0.25">
      <c r="AZ63" s="25">
        <v>60</v>
      </c>
      <c r="BA63" s="25">
        <v>0.23360621352235511</v>
      </c>
      <c r="BB63" s="25">
        <v>0</v>
      </c>
      <c r="BC63" s="25">
        <v>4</v>
      </c>
      <c r="BD63" s="25">
        <v>11.799999999999999</v>
      </c>
      <c r="BZ63">
        <v>0.39004149377593361</v>
      </c>
      <c r="CA63">
        <v>0.3728813559322034</v>
      </c>
      <c r="CB63">
        <v>0.39004149377593361</v>
      </c>
    </row>
    <row r="64" spans="52:80" x14ac:dyDescent="0.25">
      <c r="AZ64" s="24">
        <v>61</v>
      </c>
      <c r="BA64" s="24">
        <v>0.23247975053334097</v>
      </c>
      <c r="BB64" s="24">
        <v>0</v>
      </c>
      <c r="BC64" s="24">
        <v>4</v>
      </c>
      <c r="BD64" s="24">
        <v>11.996666666666666</v>
      </c>
      <c r="BZ64">
        <v>0.39419087136929459</v>
      </c>
      <c r="CA64">
        <v>0.3728813559322034</v>
      </c>
      <c r="CB64">
        <v>0.39419087136929459</v>
      </c>
    </row>
    <row r="65" spans="52:80" x14ac:dyDescent="0.25">
      <c r="AZ65" s="24">
        <v>62</v>
      </c>
      <c r="BA65" s="24">
        <v>0.23247975053334097</v>
      </c>
      <c r="BB65" s="24">
        <v>0</v>
      </c>
      <c r="BC65" s="24">
        <v>4</v>
      </c>
      <c r="BD65" s="24">
        <v>12.193333333333333</v>
      </c>
      <c r="BZ65">
        <v>0.40248962655601661</v>
      </c>
      <c r="CA65">
        <v>0.40677966101694918</v>
      </c>
      <c r="CB65">
        <v>0.40248962655601661</v>
      </c>
    </row>
    <row r="66" spans="52:80" x14ac:dyDescent="0.25">
      <c r="AZ66" s="24">
        <v>63</v>
      </c>
      <c r="BA66" s="24">
        <v>0.23135707965555613</v>
      </c>
      <c r="BB66" s="24">
        <v>1</v>
      </c>
      <c r="BC66" s="24">
        <v>5</v>
      </c>
      <c r="BD66" s="24">
        <v>12.389999999999999</v>
      </c>
      <c r="BZ66">
        <v>0.40248962655601661</v>
      </c>
      <c r="CA66">
        <v>0.42372881355932202</v>
      </c>
      <c r="CB66">
        <v>0.40248962655601661</v>
      </c>
    </row>
    <row r="67" spans="52:80" x14ac:dyDescent="0.25">
      <c r="AZ67" s="24">
        <v>64</v>
      </c>
      <c r="BA67" s="24">
        <v>0.23135707965555613</v>
      </c>
      <c r="BB67" s="24">
        <v>0</v>
      </c>
      <c r="BC67" s="24">
        <v>5</v>
      </c>
      <c r="BD67" s="24">
        <v>12.586666666666666</v>
      </c>
      <c r="BZ67">
        <v>0.40663900414937759</v>
      </c>
      <c r="CA67">
        <v>0.42372881355932202</v>
      </c>
      <c r="CB67">
        <v>0.40663900414937759</v>
      </c>
    </row>
    <row r="68" spans="52:80" x14ac:dyDescent="0.25">
      <c r="AZ68" s="24">
        <v>65</v>
      </c>
      <c r="BA68" s="24">
        <v>0.22912312633397788</v>
      </c>
      <c r="BB68" s="24">
        <v>1</v>
      </c>
      <c r="BC68" s="24">
        <v>6</v>
      </c>
      <c r="BD68" s="24">
        <v>12.783333333333333</v>
      </c>
      <c r="BZ68">
        <v>0.41078838174273857</v>
      </c>
      <c r="CA68">
        <v>0.42372881355932202</v>
      </c>
      <c r="CB68">
        <v>0.41078838174273857</v>
      </c>
    </row>
    <row r="69" spans="52:80" x14ac:dyDescent="0.25">
      <c r="AZ69" s="24">
        <v>66</v>
      </c>
      <c r="BA69" s="24">
        <v>0.22912312633397788</v>
      </c>
      <c r="BB69" s="24">
        <v>0</v>
      </c>
      <c r="BC69" s="24">
        <v>6</v>
      </c>
      <c r="BD69" s="24">
        <v>12.979999999999999</v>
      </c>
      <c r="BZ69">
        <v>0.41493775933609961</v>
      </c>
      <c r="CA69">
        <v>0.42372881355932202</v>
      </c>
      <c r="CB69">
        <v>0.41493775933609961</v>
      </c>
    </row>
    <row r="70" spans="52:80" x14ac:dyDescent="0.25">
      <c r="AZ70" s="24">
        <v>67</v>
      </c>
      <c r="BA70" s="24">
        <v>0.22801184951393688</v>
      </c>
      <c r="BB70" s="24">
        <v>0</v>
      </c>
      <c r="BC70" s="24">
        <v>6</v>
      </c>
      <c r="BD70" s="24">
        <v>13.176666666666666</v>
      </c>
      <c r="BZ70">
        <v>0.41493775933609961</v>
      </c>
      <c r="CA70">
        <v>0.44067796610169491</v>
      </c>
      <c r="CB70">
        <v>0.41493775933609961</v>
      </c>
    </row>
    <row r="71" spans="52:80" x14ac:dyDescent="0.25">
      <c r="AZ71" s="24">
        <v>68</v>
      </c>
      <c r="BA71" s="24">
        <v>0.22690437605456062</v>
      </c>
      <c r="BB71" s="24">
        <v>0</v>
      </c>
      <c r="BC71" s="24">
        <v>6</v>
      </c>
      <c r="BD71" s="24">
        <v>13.373333333333333</v>
      </c>
      <c r="BZ71">
        <v>0.41908713692946059</v>
      </c>
      <c r="CA71">
        <v>0.4576271186440678</v>
      </c>
      <c r="CB71">
        <v>0.41908713692946059</v>
      </c>
    </row>
    <row r="72" spans="52:80" x14ac:dyDescent="0.25">
      <c r="AZ72" s="24">
        <v>69</v>
      </c>
      <c r="BA72" s="24">
        <v>0.22690437605456062</v>
      </c>
      <c r="BB72" s="24">
        <v>0</v>
      </c>
      <c r="BC72" s="24">
        <v>6</v>
      </c>
      <c r="BD72" s="24">
        <v>13.569999999999999</v>
      </c>
      <c r="BZ72">
        <v>0.42738589211618255</v>
      </c>
      <c r="CA72">
        <v>0.4576271186440678</v>
      </c>
      <c r="CB72">
        <v>0.42738589211618255</v>
      </c>
    </row>
    <row r="73" spans="52:80" x14ac:dyDescent="0.25">
      <c r="AZ73" s="24">
        <v>70</v>
      </c>
      <c r="BA73" s="24">
        <v>0.22580070834568639</v>
      </c>
      <c r="BB73" s="24">
        <v>1</v>
      </c>
      <c r="BC73" s="24">
        <v>7</v>
      </c>
      <c r="BD73" s="24">
        <v>13.766666666666666</v>
      </c>
      <c r="BZ73">
        <v>0.43983402489626555</v>
      </c>
      <c r="CA73">
        <v>0.4576271186440678</v>
      </c>
      <c r="CB73">
        <v>0.43983402489626555</v>
      </c>
    </row>
    <row r="74" spans="52:80" x14ac:dyDescent="0.25">
      <c r="AZ74" s="24">
        <v>71</v>
      </c>
      <c r="BA74" s="24">
        <v>0.22537649659634262</v>
      </c>
      <c r="BB74" s="24">
        <v>1</v>
      </c>
      <c r="BC74" s="24">
        <v>8</v>
      </c>
      <c r="BD74" s="24">
        <v>13.963333333333333</v>
      </c>
      <c r="BZ74">
        <v>0.44398340248962653</v>
      </c>
      <c r="CA74">
        <v>0.47457627118644069</v>
      </c>
      <c r="CB74">
        <v>0.44398340248962653</v>
      </c>
    </row>
    <row r="75" spans="52:80" x14ac:dyDescent="0.25">
      <c r="AZ75" s="24">
        <v>72</v>
      </c>
      <c r="BA75" s="24">
        <v>0.22427810457794792</v>
      </c>
      <c r="BB75" s="24">
        <v>0</v>
      </c>
      <c r="BC75" s="24">
        <v>8</v>
      </c>
      <c r="BD75" s="24">
        <v>14.16</v>
      </c>
      <c r="BZ75">
        <v>0.44398340248962653</v>
      </c>
      <c r="CA75">
        <v>0.49152542372881358</v>
      </c>
      <c r="CB75">
        <v>0.44398340248962653</v>
      </c>
    </row>
    <row r="76" spans="52:80" x14ac:dyDescent="0.25">
      <c r="AZ76" s="24">
        <v>73</v>
      </c>
      <c r="BA76" s="24">
        <v>0.22360479890457233</v>
      </c>
      <c r="BB76" s="24">
        <v>0</v>
      </c>
      <c r="BC76" s="24">
        <v>8</v>
      </c>
      <c r="BD76" s="24">
        <v>14.356666666666666</v>
      </c>
      <c r="BZ76">
        <v>0.45228215767634855</v>
      </c>
      <c r="CA76">
        <v>0.52542372881355937</v>
      </c>
      <c r="CB76">
        <v>0.45228215767634855</v>
      </c>
    </row>
    <row r="77" spans="52:80" x14ac:dyDescent="0.25">
      <c r="AZ77" s="24">
        <v>74</v>
      </c>
      <c r="BA77" s="24">
        <v>0.2225125611207911</v>
      </c>
      <c r="BB77" s="24">
        <v>0</v>
      </c>
      <c r="BC77" s="24">
        <v>8</v>
      </c>
      <c r="BD77" s="24">
        <v>14.553333333333333</v>
      </c>
      <c r="BZ77">
        <v>0.46058091286307051</v>
      </c>
      <c r="CA77">
        <v>0.52542372881355937</v>
      </c>
      <c r="CB77">
        <v>0.46058091286307051</v>
      </c>
    </row>
    <row r="78" spans="52:80" x14ac:dyDescent="0.25">
      <c r="AZ78" s="24">
        <v>75</v>
      </c>
      <c r="BA78" s="24">
        <v>0.2225125611207911</v>
      </c>
      <c r="BB78" s="24">
        <v>0</v>
      </c>
      <c r="BC78" s="24">
        <v>8</v>
      </c>
      <c r="BD78" s="24">
        <v>14.75</v>
      </c>
      <c r="BZ78">
        <v>0.47302904564315351</v>
      </c>
      <c r="CA78">
        <v>0.5423728813559322</v>
      </c>
      <c r="CB78">
        <v>0.47302904564315351</v>
      </c>
    </row>
    <row r="79" spans="52:80" x14ac:dyDescent="0.25">
      <c r="AZ79" s="24">
        <v>76</v>
      </c>
      <c r="BA79" s="24">
        <v>0.2225125611207911</v>
      </c>
      <c r="BB79" s="24">
        <v>0</v>
      </c>
      <c r="BC79" s="24">
        <v>8</v>
      </c>
      <c r="BD79" s="24">
        <v>14.946666666666665</v>
      </c>
      <c r="BZ79">
        <v>0.47302904564315351</v>
      </c>
      <c r="CA79">
        <v>0.55932203389830504</v>
      </c>
      <c r="CB79">
        <v>0.47302904564315351</v>
      </c>
    </row>
    <row r="80" spans="52:80" x14ac:dyDescent="0.25">
      <c r="AZ80" s="24">
        <v>77</v>
      </c>
      <c r="BA80" s="24">
        <v>0.22251256112079107</v>
      </c>
      <c r="BB80" s="24">
        <v>1</v>
      </c>
      <c r="BC80" s="24">
        <v>9</v>
      </c>
      <c r="BD80" s="24">
        <v>15.143333333333333</v>
      </c>
      <c r="BZ80">
        <v>0.47302904564315351</v>
      </c>
      <c r="CA80">
        <v>0.57627118644067798</v>
      </c>
      <c r="CB80">
        <v>0.47302904564315351</v>
      </c>
    </row>
    <row r="81" spans="52:80" x14ac:dyDescent="0.25">
      <c r="AZ81" s="24">
        <v>78</v>
      </c>
      <c r="BA81" s="24">
        <v>0.22142413698645355</v>
      </c>
      <c r="BB81" s="24">
        <v>0</v>
      </c>
      <c r="BC81" s="24">
        <v>9</v>
      </c>
      <c r="BD81" s="24">
        <v>15.34</v>
      </c>
      <c r="BZ81">
        <v>0.48132780082987553</v>
      </c>
      <c r="CA81">
        <v>0.57627118644067798</v>
      </c>
      <c r="CB81">
        <v>0.48132780082987553</v>
      </c>
    </row>
    <row r="82" spans="52:80" x14ac:dyDescent="0.25">
      <c r="AZ82" s="24">
        <v>79</v>
      </c>
      <c r="BA82" s="24">
        <v>0.22033952806625404</v>
      </c>
      <c r="BB82" s="24">
        <v>0</v>
      </c>
      <c r="BC82" s="24">
        <v>9</v>
      </c>
      <c r="BD82" s="24">
        <v>15.536666666666665</v>
      </c>
      <c r="BZ82">
        <v>0.48132780082987553</v>
      </c>
      <c r="CA82">
        <v>0.59322033898305082</v>
      </c>
      <c r="CB82">
        <v>0.48132780082987553</v>
      </c>
    </row>
    <row r="83" spans="52:80" x14ac:dyDescent="0.25">
      <c r="AZ83" s="24">
        <v>80</v>
      </c>
      <c r="BA83" s="24">
        <v>0.22033952806625404</v>
      </c>
      <c r="BB83" s="24">
        <v>0</v>
      </c>
      <c r="BC83" s="24">
        <v>9</v>
      </c>
      <c r="BD83" s="24">
        <v>15.733333333333333</v>
      </c>
      <c r="BZ83">
        <v>0.48132780082987553</v>
      </c>
      <c r="CA83">
        <v>0.61016949152542377</v>
      </c>
      <c r="CB83">
        <v>0.48132780082987553</v>
      </c>
    </row>
    <row r="84" spans="52:80" x14ac:dyDescent="0.25">
      <c r="AZ84" s="24">
        <v>81</v>
      </c>
      <c r="BA84" s="24">
        <v>0.21992266175502811</v>
      </c>
      <c r="BB84" s="24">
        <v>0</v>
      </c>
      <c r="BC84" s="24">
        <v>9</v>
      </c>
      <c r="BD84" s="24">
        <v>15.93</v>
      </c>
      <c r="BZ84">
        <v>0.48962655601659749</v>
      </c>
      <c r="CA84">
        <v>0.61016949152542377</v>
      </c>
      <c r="CB84">
        <v>0.48962655601659749</v>
      </c>
    </row>
    <row r="85" spans="52:80" x14ac:dyDescent="0.25">
      <c r="AZ85" s="24">
        <v>82</v>
      </c>
      <c r="BA85" s="24">
        <v>0.21925873576292521</v>
      </c>
      <c r="BB85" s="24">
        <v>0</v>
      </c>
      <c r="BC85" s="24">
        <v>9</v>
      </c>
      <c r="BD85" s="24">
        <v>16.126666666666665</v>
      </c>
      <c r="BZ85">
        <v>0.48962655601659749</v>
      </c>
      <c r="CA85">
        <v>0.6271186440677966</v>
      </c>
      <c r="CB85">
        <v>0.48962655601659749</v>
      </c>
    </row>
    <row r="86" spans="52:80" x14ac:dyDescent="0.25">
      <c r="AZ86" s="24">
        <v>83</v>
      </c>
      <c r="BA86" s="24">
        <v>0.21884334028137301</v>
      </c>
      <c r="BB86" s="24">
        <v>0</v>
      </c>
      <c r="BC86" s="24">
        <v>9</v>
      </c>
      <c r="BD86" s="24">
        <v>16.323333333333334</v>
      </c>
      <c r="BZ86">
        <v>0.49377593360995853</v>
      </c>
      <c r="CA86">
        <v>0.6271186440677966</v>
      </c>
      <c r="CB86">
        <v>0.49377593360995853</v>
      </c>
    </row>
    <row r="87" spans="52:80" x14ac:dyDescent="0.25">
      <c r="AZ87" s="24">
        <v>84</v>
      </c>
      <c r="BA87" s="24">
        <v>0.21818176131827996</v>
      </c>
      <c r="BB87" s="24">
        <v>1</v>
      </c>
      <c r="BC87" s="24">
        <v>10</v>
      </c>
      <c r="BD87" s="24">
        <v>16.52</v>
      </c>
      <c r="BZ87">
        <v>0.49792531120331951</v>
      </c>
      <c r="CA87">
        <v>0.6271186440677966</v>
      </c>
      <c r="CB87">
        <v>0.49792531120331951</v>
      </c>
    </row>
    <row r="88" spans="52:80" x14ac:dyDescent="0.25">
      <c r="AZ88" s="24">
        <v>85</v>
      </c>
      <c r="BA88" s="24">
        <v>0.21818176131827996</v>
      </c>
      <c r="BB88" s="24">
        <v>1</v>
      </c>
      <c r="BC88" s="24">
        <v>11</v>
      </c>
      <c r="BD88" s="24">
        <v>16.716666666666665</v>
      </c>
      <c r="BZ88">
        <v>0.49792531120331951</v>
      </c>
      <c r="CA88">
        <v>0.64406779661016944</v>
      </c>
      <c r="CB88">
        <v>0.49792531120331951</v>
      </c>
    </row>
    <row r="89" spans="52:80" x14ac:dyDescent="0.25">
      <c r="AZ89" s="24">
        <v>86</v>
      </c>
      <c r="BA89" s="24">
        <v>0.21818176131827996</v>
      </c>
      <c r="BB89" s="24">
        <v>0</v>
      </c>
      <c r="BC89" s="24">
        <v>11</v>
      </c>
      <c r="BD89" s="24">
        <v>16.913333333333334</v>
      </c>
      <c r="BZ89">
        <v>0.50622406639004147</v>
      </c>
      <c r="CA89">
        <v>0.64406779661016944</v>
      </c>
      <c r="CB89">
        <v>0.50622406639004147</v>
      </c>
    </row>
    <row r="90" spans="52:80" x14ac:dyDescent="0.25">
      <c r="AZ90" s="24">
        <v>87</v>
      </c>
      <c r="BA90" s="24">
        <v>0.21776783710213313</v>
      </c>
      <c r="BB90" s="24">
        <v>1</v>
      </c>
      <c r="BC90" s="24">
        <v>12</v>
      </c>
      <c r="BD90" s="24">
        <v>17.11</v>
      </c>
      <c r="BZ90">
        <v>0.51867219917012453</v>
      </c>
      <c r="CA90">
        <v>0.66101694915254239</v>
      </c>
      <c r="CB90">
        <v>0.51867219917012453</v>
      </c>
    </row>
    <row r="91" spans="52:80" x14ac:dyDescent="0.25">
      <c r="AZ91" s="24">
        <v>88</v>
      </c>
      <c r="BA91" s="24">
        <v>0.21710860581426084</v>
      </c>
      <c r="BB91" s="24">
        <v>0</v>
      </c>
      <c r="BC91" s="24">
        <v>12</v>
      </c>
      <c r="BD91" s="24">
        <v>17.306666666666665</v>
      </c>
      <c r="BZ91">
        <v>0.52282157676348551</v>
      </c>
      <c r="CA91">
        <v>0.66101694915254239</v>
      </c>
      <c r="CB91">
        <v>0.52282157676348551</v>
      </c>
    </row>
    <row r="92" spans="52:80" x14ac:dyDescent="0.25">
      <c r="AZ92" s="24">
        <v>89</v>
      </c>
      <c r="BA92" s="24">
        <v>0.21710860581426084</v>
      </c>
      <c r="BB92" s="24">
        <v>0</v>
      </c>
      <c r="BC92" s="24">
        <v>12</v>
      </c>
      <c r="BD92" s="24">
        <v>17.503333333333334</v>
      </c>
      <c r="BZ92">
        <v>0.52697095435684649</v>
      </c>
      <c r="CA92">
        <v>0.66101694915254239</v>
      </c>
      <c r="CB92">
        <v>0.52697095435684649</v>
      </c>
    </row>
    <row r="93" spans="52:80" x14ac:dyDescent="0.25">
      <c r="AZ93" s="24">
        <v>90</v>
      </c>
      <c r="BA93" s="24">
        <v>0.21710860581426084</v>
      </c>
      <c r="BB93" s="24">
        <v>1</v>
      </c>
      <c r="BC93" s="24">
        <v>13</v>
      </c>
      <c r="BD93" s="24">
        <v>17.7</v>
      </c>
      <c r="BZ93">
        <v>0.53941908713692943</v>
      </c>
      <c r="CA93">
        <v>0.66101694915254239</v>
      </c>
      <c r="CB93">
        <v>0.53941908713692943</v>
      </c>
    </row>
    <row r="94" spans="52:80" x14ac:dyDescent="0.25">
      <c r="AZ94" s="25">
        <v>91</v>
      </c>
      <c r="BA94" s="25">
        <v>0.21710860581426084</v>
      </c>
      <c r="BB94" s="25">
        <v>1</v>
      </c>
      <c r="BC94" s="25">
        <v>14</v>
      </c>
      <c r="BD94" s="25">
        <v>17.896666666666665</v>
      </c>
      <c r="BZ94">
        <v>0.53941908713692943</v>
      </c>
      <c r="CA94">
        <v>0.67796610169491522</v>
      </c>
      <c r="CB94">
        <v>0.53941908713692943</v>
      </c>
    </row>
    <row r="95" spans="52:80" x14ac:dyDescent="0.25">
      <c r="AZ95" s="25">
        <v>92</v>
      </c>
      <c r="BA95" s="25">
        <v>0.21710860581426084</v>
      </c>
      <c r="BB95" s="25">
        <v>0</v>
      </c>
      <c r="BC95" s="25">
        <v>14</v>
      </c>
      <c r="BD95" s="25">
        <v>18.093333333333334</v>
      </c>
      <c r="BZ95">
        <v>0.54356846473029041</v>
      </c>
      <c r="CA95">
        <v>0.67796610169491522</v>
      </c>
      <c r="CB95">
        <v>0.54356846473029041</v>
      </c>
    </row>
    <row r="96" spans="52:80" x14ac:dyDescent="0.25">
      <c r="AZ96" s="25">
        <v>93</v>
      </c>
      <c r="BA96" s="25">
        <v>0.21603927017399838</v>
      </c>
      <c r="BB96" s="25">
        <v>0</v>
      </c>
      <c r="BC96" s="25">
        <v>14</v>
      </c>
      <c r="BD96" s="25">
        <v>18.29</v>
      </c>
      <c r="BZ96">
        <v>0.54356846473029041</v>
      </c>
      <c r="CA96">
        <v>0.69491525423728817</v>
      </c>
      <c r="CB96">
        <v>0.54356846473029041</v>
      </c>
    </row>
    <row r="97" spans="52:80" x14ac:dyDescent="0.25">
      <c r="AZ97" s="25">
        <v>94</v>
      </c>
      <c r="BA97" s="25">
        <v>0.21603927017399838</v>
      </c>
      <c r="BB97" s="25">
        <v>0</v>
      </c>
      <c r="BC97" s="25">
        <v>14</v>
      </c>
      <c r="BD97" s="25">
        <v>18.486666666666665</v>
      </c>
      <c r="BZ97">
        <v>0.55186721991701249</v>
      </c>
      <c r="CA97">
        <v>0.69491525423728817</v>
      </c>
      <c r="CB97">
        <v>0.55186721991701249</v>
      </c>
    </row>
    <row r="98" spans="52:80" x14ac:dyDescent="0.25">
      <c r="AZ98" s="25">
        <v>95</v>
      </c>
      <c r="BA98" s="25">
        <v>0.21603927017399838</v>
      </c>
      <c r="BB98" s="25">
        <v>0</v>
      </c>
      <c r="BC98" s="25">
        <v>14</v>
      </c>
      <c r="BD98" s="25">
        <v>18.683333333333334</v>
      </c>
      <c r="BZ98">
        <v>0.55601659751037347</v>
      </c>
      <c r="CA98">
        <v>0.69491525423728817</v>
      </c>
      <c r="CB98">
        <v>0.55601659751037347</v>
      </c>
    </row>
    <row r="99" spans="52:80" x14ac:dyDescent="0.25">
      <c r="AZ99" s="25">
        <v>96</v>
      </c>
      <c r="BA99" s="25">
        <v>0.21603927017399838</v>
      </c>
      <c r="BB99" s="25">
        <v>0</v>
      </c>
      <c r="BC99" s="25">
        <v>14</v>
      </c>
      <c r="BD99" s="25">
        <v>18.88</v>
      </c>
      <c r="BZ99">
        <v>0.55601659751037347</v>
      </c>
      <c r="CA99">
        <v>0.71186440677966101</v>
      </c>
      <c r="CB99">
        <v>0.55601659751037347</v>
      </c>
    </row>
    <row r="100" spans="52:80" x14ac:dyDescent="0.25">
      <c r="AZ100" s="25">
        <v>97</v>
      </c>
      <c r="BA100" s="25">
        <v>0.2156282895510116</v>
      </c>
      <c r="BB100" s="25">
        <v>0</v>
      </c>
      <c r="BC100" s="25">
        <v>14</v>
      </c>
      <c r="BD100" s="25">
        <v>19.076666666666664</v>
      </c>
      <c r="BZ100">
        <v>0.55601659751037347</v>
      </c>
      <c r="CA100">
        <v>0.72881355932203384</v>
      </c>
      <c r="CB100">
        <v>0.55601659751037347</v>
      </c>
    </row>
    <row r="101" spans="52:80" x14ac:dyDescent="0.25">
      <c r="AZ101" s="25">
        <v>98</v>
      </c>
      <c r="BA101" s="25">
        <v>0.2156282895510116</v>
      </c>
      <c r="BB101" s="25">
        <v>0</v>
      </c>
      <c r="BC101" s="25">
        <v>14</v>
      </c>
      <c r="BD101" s="25">
        <v>19.273333333333333</v>
      </c>
      <c r="BZ101">
        <v>0.55601659751037347</v>
      </c>
      <c r="CA101">
        <v>0.76271186440677963</v>
      </c>
      <c r="CB101">
        <v>0.55601659751037347</v>
      </c>
    </row>
    <row r="102" spans="52:80" x14ac:dyDescent="0.25">
      <c r="AZ102" s="25">
        <v>99</v>
      </c>
      <c r="BA102" s="25">
        <v>0.21497375516287545</v>
      </c>
      <c r="BB102" s="25">
        <v>1</v>
      </c>
      <c r="BC102" s="25">
        <v>15</v>
      </c>
      <c r="BD102" s="25">
        <v>19.47</v>
      </c>
      <c r="BZ102">
        <v>0.56016597510373445</v>
      </c>
      <c r="CA102">
        <v>0.76271186440677963</v>
      </c>
      <c r="CB102">
        <v>0.56016597510373445</v>
      </c>
    </row>
    <row r="103" spans="52:80" x14ac:dyDescent="0.25">
      <c r="AZ103" s="25">
        <v>100</v>
      </c>
      <c r="BA103" s="25">
        <v>0.21497375516287537</v>
      </c>
      <c r="BB103" s="25">
        <v>0</v>
      </c>
      <c r="BC103" s="25">
        <v>15</v>
      </c>
      <c r="BD103" s="25">
        <v>19.666666666666664</v>
      </c>
      <c r="BZ103">
        <v>0.56016597510373445</v>
      </c>
      <c r="CA103">
        <v>0.83050847457627119</v>
      </c>
      <c r="CB103">
        <v>0.56016597510373445</v>
      </c>
    </row>
    <row r="104" spans="52:80" x14ac:dyDescent="0.25">
      <c r="AZ104" s="25">
        <v>101</v>
      </c>
      <c r="BA104" s="25">
        <v>0.21497375516287537</v>
      </c>
      <c r="BB104" s="25">
        <v>0</v>
      </c>
      <c r="BC104" s="25">
        <v>15</v>
      </c>
      <c r="BD104" s="25">
        <v>19.863333333333333</v>
      </c>
      <c r="BZ104">
        <v>0.56431535269709543</v>
      </c>
      <c r="CA104">
        <v>0.83050847457627119</v>
      </c>
      <c r="CB104">
        <v>0.56431535269709543</v>
      </c>
    </row>
    <row r="105" spans="52:80" x14ac:dyDescent="0.25">
      <c r="AZ105" s="25">
        <v>102</v>
      </c>
      <c r="BA105" s="25">
        <v>0.21456424674624666</v>
      </c>
      <c r="BB105" s="25">
        <v>0</v>
      </c>
      <c r="BC105" s="25">
        <v>15</v>
      </c>
      <c r="BD105" s="25">
        <v>20.059999999999999</v>
      </c>
      <c r="BZ105">
        <v>0.57261410788381739</v>
      </c>
      <c r="CA105">
        <v>0.84745762711864403</v>
      </c>
      <c r="CB105">
        <v>0.57261410788381739</v>
      </c>
    </row>
    <row r="106" spans="52:80" x14ac:dyDescent="0.25">
      <c r="AZ106" s="25">
        <v>103</v>
      </c>
      <c r="BA106" s="25">
        <v>0.21350402537227284</v>
      </c>
      <c r="BB106" s="25">
        <v>0</v>
      </c>
      <c r="BC106" s="25">
        <v>15</v>
      </c>
      <c r="BD106" s="25">
        <v>20.256666666666664</v>
      </c>
      <c r="BZ106">
        <v>0.57676348547717837</v>
      </c>
      <c r="CA106">
        <v>0.84745762711864403</v>
      </c>
      <c r="CB106">
        <v>0.57676348547717837</v>
      </c>
    </row>
    <row r="107" spans="52:80" x14ac:dyDescent="0.25">
      <c r="AZ107" s="25">
        <v>104</v>
      </c>
      <c r="BA107" s="25">
        <v>0.21350402537227284</v>
      </c>
      <c r="BB107" s="25">
        <v>0</v>
      </c>
      <c r="BC107" s="25">
        <v>15</v>
      </c>
      <c r="BD107" s="25">
        <v>20.453333333333333</v>
      </c>
      <c r="BZ107">
        <v>0.57676348547717837</v>
      </c>
      <c r="CA107">
        <v>0.86440677966101698</v>
      </c>
      <c r="CB107">
        <v>0.57676348547717837</v>
      </c>
    </row>
    <row r="108" spans="52:80" x14ac:dyDescent="0.25">
      <c r="AZ108" s="25">
        <v>105</v>
      </c>
      <c r="BA108" s="25">
        <v>0.21350402537227284</v>
      </c>
      <c r="BB108" s="25">
        <v>0</v>
      </c>
      <c r="BC108" s="25">
        <v>15</v>
      </c>
      <c r="BD108" s="25">
        <v>20.65</v>
      </c>
      <c r="BZ108">
        <v>0.57676348547717837</v>
      </c>
      <c r="CA108">
        <v>0.88135593220338981</v>
      </c>
      <c r="CB108">
        <v>0.57676348547717837</v>
      </c>
    </row>
    <row r="109" spans="52:80" x14ac:dyDescent="0.25">
      <c r="AZ109" s="25">
        <v>106</v>
      </c>
      <c r="BA109" s="25">
        <v>0.21285418930728234</v>
      </c>
      <c r="BB109" s="25">
        <v>0</v>
      </c>
      <c r="BC109" s="25">
        <v>15</v>
      </c>
      <c r="BD109" s="25">
        <v>20.846666666666664</v>
      </c>
      <c r="BZ109">
        <v>0.57676348547717837</v>
      </c>
      <c r="CA109">
        <v>0.89830508474576276</v>
      </c>
      <c r="CB109">
        <v>0.57676348547717837</v>
      </c>
    </row>
    <row r="110" spans="52:80" x14ac:dyDescent="0.25">
      <c r="AZ110" s="25">
        <v>107</v>
      </c>
      <c r="BA110" s="25">
        <v>0.21285418930728234</v>
      </c>
      <c r="BB110" s="25">
        <v>1</v>
      </c>
      <c r="BC110" s="25">
        <v>16</v>
      </c>
      <c r="BD110" s="25">
        <v>21.043333333333333</v>
      </c>
      <c r="BZ110">
        <v>0.57676348547717837</v>
      </c>
      <c r="CA110">
        <v>0.9152542372881356</v>
      </c>
      <c r="CB110">
        <v>0.57676348547717837</v>
      </c>
    </row>
    <row r="111" spans="52:80" x14ac:dyDescent="0.25">
      <c r="AZ111" s="25">
        <v>108</v>
      </c>
      <c r="BA111" s="25">
        <v>0.21285418930728234</v>
      </c>
      <c r="BB111" s="25">
        <v>1</v>
      </c>
      <c r="BC111" s="25">
        <v>17</v>
      </c>
      <c r="BD111" s="25">
        <v>21.24</v>
      </c>
      <c r="BZ111">
        <v>0.58091286307053946</v>
      </c>
      <c r="CA111">
        <v>0.9152542372881356</v>
      </c>
      <c r="CB111">
        <v>0.58091286307053946</v>
      </c>
    </row>
    <row r="112" spans="52:80" x14ac:dyDescent="0.25">
      <c r="AZ112" s="25">
        <v>109</v>
      </c>
      <c r="BA112" s="25">
        <v>0.21285418930728234</v>
      </c>
      <c r="BB112" s="25">
        <v>0</v>
      </c>
      <c r="BC112" s="25">
        <v>17</v>
      </c>
      <c r="BD112" s="25">
        <v>21.436666666666664</v>
      </c>
      <c r="BZ112">
        <v>0.58506224066390045</v>
      </c>
      <c r="CA112">
        <v>0.9152542372881356</v>
      </c>
      <c r="CB112">
        <v>0.58506224066390045</v>
      </c>
    </row>
    <row r="113" spans="52:80" x14ac:dyDescent="0.25">
      <c r="AZ113" s="25">
        <v>110</v>
      </c>
      <c r="BA113" s="25">
        <v>0.21139504833641773</v>
      </c>
      <c r="BB113" s="25">
        <v>1</v>
      </c>
      <c r="BC113" s="25">
        <v>18</v>
      </c>
      <c r="BD113" s="25">
        <v>21.633333333333333</v>
      </c>
      <c r="BZ113">
        <v>0.58921161825726143</v>
      </c>
      <c r="CA113">
        <v>0.9152542372881356</v>
      </c>
      <c r="CB113">
        <v>0.58921161825726143</v>
      </c>
    </row>
    <row r="114" spans="52:80" x14ac:dyDescent="0.25">
      <c r="AZ114" s="25">
        <v>111</v>
      </c>
      <c r="BA114" s="25">
        <v>0.21074991125651377</v>
      </c>
      <c r="BB114" s="25">
        <v>1</v>
      </c>
      <c r="BC114" s="25">
        <v>19</v>
      </c>
      <c r="BD114" s="25">
        <v>21.83</v>
      </c>
      <c r="BZ114">
        <v>0.59336099585062241</v>
      </c>
      <c r="CA114">
        <v>0.9152542372881356</v>
      </c>
      <c r="CB114">
        <v>0.59336099585062241</v>
      </c>
    </row>
    <row r="115" spans="52:80" x14ac:dyDescent="0.25">
      <c r="AZ115" s="25">
        <v>112</v>
      </c>
      <c r="BA115" s="25">
        <v>0.21074991125651377</v>
      </c>
      <c r="BB115" s="25">
        <v>1</v>
      </c>
      <c r="BC115" s="25">
        <v>20</v>
      </c>
      <c r="BD115" s="25">
        <v>22.026666666666664</v>
      </c>
      <c r="BZ115">
        <v>0.59751037344398339</v>
      </c>
      <c r="CA115">
        <v>0.9152542372881356</v>
      </c>
      <c r="CB115">
        <v>0.59751037344398339</v>
      </c>
    </row>
    <row r="116" spans="52:80" x14ac:dyDescent="0.25">
      <c r="AZ116" s="25">
        <v>113</v>
      </c>
      <c r="BA116" s="25">
        <v>0.21074991125651371</v>
      </c>
      <c r="BB116" s="25">
        <v>0</v>
      </c>
      <c r="BC116" s="25">
        <v>20</v>
      </c>
      <c r="BD116" s="25">
        <v>22.223333333333333</v>
      </c>
      <c r="BZ116">
        <v>0.60580912863070535</v>
      </c>
      <c r="CA116">
        <v>0.9152542372881356</v>
      </c>
      <c r="CB116">
        <v>0.60580912863070535</v>
      </c>
    </row>
    <row r="117" spans="52:80" x14ac:dyDescent="0.25">
      <c r="AZ117" s="25">
        <v>114</v>
      </c>
      <c r="BA117" s="25">
        <v>0.21034629300026661</v>
      </c>
      <c r="BB117" s="25">
        <v>0</v>
      </c>
      <c r="BC117" s="25">
        <v>20</v>
      </c>
      <c r="BD117" s="25">
        <v>22.419999999999998</v>
      </c>
      <c r="BZ117">
        <v>0.61825726141078841</v>
      </c>
      <c r="CA117">
        <v>0.9152542372881356</v>
      </c>
      <c r="CB117">
        <v>0.61825726141078841</v>
      </c>
    </row>
    <row r="118" spans="52:80" x14ac:dyDescent="0.25">
      <c r="AZ118" s="25">
        <v>115</v>
      </c>
      <c r="BA118" s="25">
        <v>0.20970350542611282</v>
      </c>
      <c r="BB118" s="25">
        <v>1</v>
      </c>
      <c r="BC118" s="25">
        <v>21</v>
      </c>
      <c r="BD118" s="25">
        <v>22.616666666666667</v>
      </c>
      <c r="BZ118">
        <v>0.61825726141078841</v>
      </c>
      <c r="CA118">
        <v>0.93220338983050843</v>
      </c>
      <c r="CB118">
        <v>0.61825726141078841</v>
      </c>
    </row>
    <row r="119" spans="52:80" x14ac:dyDescent="0.25">
      <c r="AZ119" s="25">
        <v>116</v>
      </c>
      <c r="BA119" s="25">
        <v>0.20970350542611282</v>
      </c>
      <c r="BB119" s="25">
        <v>1</v>
      </c>
      <c r="BC119" s="25">
        <v>22</v>
      </c>
      <c r="BD119" s="25">
        <v>22.813333333333333</v>
      </c>
      <c r="BZ119">
        <v>0.62240663900414939</v>
      </c>
      <c r="CA119">
        <v>0.93220338983050843</v>
      </c>
      <c r="CB119">
        <v>0.62240663900414939</v>
      </c>
    </row>
    <row r="120" spans="52:80" x14ac:dyDescent="0.25">
      <c r="AZ120" s="25">
        <v>117</v>
      </c>
      <c r="BA120" s="25">
        <v>0.20930135974856356</v>
      </c>
      <c r="BB120" s="25">
        <v>0</v>
      </c>
      <c r="BC120" s="25">
        <v>22</v>
      </c>
      <c r="BD120" s="25">
        <v>23.009999999999998</v>
      </c>
      <c r="BZ120">
        <v>0.63070539419087135</v>
      </c>
      <c r="CA120">
        <v>0.93220338983050843</v>
      </c>
      <c r="CB120">
        <v>0.63070539419087135</v>
      </c>
    </row>
    <row r="121" spans="52:80" x14ac:dyDescent="0.25">
      <c r="AZ121" s="25">
        <v>118</v>
      </c>
      <c r="BA121" s="25">
        <v>0.20866092156497576</v>
      </c>
      <c r="BB121" s="25">
        <v>1</v>
      </c>
      <c r="BC121" s="25">
        <v>23</v>
      </c>
      <c r="BD121" s="25">
        <v>23.206666666666667</v>
      </c>
      <c r="BZ121">
        <v>0.63485477178423233</v>
      </c>
      <c r="CA121">
        <v>0.94915254237288138</v>
      </c>
      <c r="CB121">
        <v>0.63485477178423233</v>
      </c>
    </row>
    <row r="122" spans="52:80" x14ac:dyDescent="0.25">
      <c r="AZ122" s="25">
        <v>119</v>
      </c>
      <c r="BA122" s="25">
        <v>0.20866092156497576</v>
      </c>
      <c r="BB122" s="25">
        <v>0</v>
      </c>
      <c r="BC122" s="25">
        <v>23</v>
      </c>
      <c r="BD122" s="25">
        <v>23.403333333333332</v>
      </c>
      <c r="BZ122">
        <v>0.6431535269709544</v>
      </c>
      <c r="CA122">
        <v>0.94915254237288138</v>
      </c>
      <c r="CB122">
        <v>0.6431535269709544</v>
      </c>
    </row>
    <row r="123" spans="52:80" x14ac:dyDescent="0.25">
      <c r="AZ123" s="25">
        <v>120</v>
      </c>
      <c r="BA123" s="25">
        <v>0.20866092156497576</v>
      </c>
      <c r="BB123" s="25">
        <v>0</v>
      </c>
      <c r="BC123" s="25">
        <v>23</v>
      </c>
      <c r="BD123" s="25">
        <v>23.599999999999998</v>
      </c>
      <c r="BZ123">
        <v>0.64730290456431538</v>
      </c>
      <c r="CA123">
        <v>0.94915254237288138</v>
      </c>
      <c r="CB123">
        <v>0.64730290456431538</v>
      </c>
    </row>
    <row r="124" spans="52:80" x14ac:dyDescent="0.25">
      <c r="AZ124" s="24">
        <v>121</v>
      </c>
      <c r="BA124" s="24">
        <v>0.20866092156497576</v>
      </c>
      <c r="BB124" s="24">
        <v>1</v>
      </c>
      <c r="BC124" s="24">
        <v>24</v>
      </c>
      <c r="BD124" s="24">
        <v>23.796666666666667</v>
      </c>
      <c r="BZ124">
        <v>0.65560165975103735</v>
      </c>
      <c r="CA124">
        <v>0.94915254237288138</v>
      </c>
      <c r="CB124">
        <v>0.65560165975103735</v>
      </c>
    </row>
    <row r="125" spans="52:80" x14ac:dyDescent="0.25">
      <c r="AZ125" s="24">
        <v>122</v>
      </c>
      <c r="BA125" s="24">
        <v>0.20826024836499749</v>
      </c>
      <c r="BB125" s="24">
        <v>1</v>
      </c>
      <c r="BC125" s="24">
        <v>25</v>
      </c>
      <c r="BD125" s="24">
        <v>23.993333333333332</v>
      </c>
      <c r="BZ125">
        <v>0.65975103734439833</v>
      </c>
      <c r="CA125">
        <v>0.96610169491525422</v>
      </c>
      <c r="CB125">
        <v>0.65975103734439833</v>
      </c>
    </row>
    <row r="126" spans="52:80" x14ac:dyDescent="0.25">
      <c r="AZ126" s="24">
        <v>123</v>
      </c>
      <c r="BA126" s="24">
        <v>0.20762215936465331</v>
      </c>
      <c r="BB126" s="24">
        <v>0</v>
      </c>
      <c r="BC126" s="24">
        <v>25</v>
      </c>
      <c r="BD126" s="24">
        <v>24.189999999999998</v>
      </c>
      <c r="BZ126">
        <v>0.66390041493775931</v>
      </c>
      <c r="CA126">
        <v>0.96610169491525422</v>
      </c>
      <c r="CB126">
        <v>0.66390041493775931</v>
      </c>
    </row>
    <row r="127" spans="52:80" x14ac:dyDescent="0.25">
      <c r="AZ127" s="24">
        <v>124</v>
      </c>
      <c r="BA127" s="24">
        <v>0.20722295848358432</v>
      </c>
      <c r="BB127" s="24">
        <v>0</v>
      </c>
      <c r="BC127" s="24">
        <v>25</v>
      </c>
      <c r="BD127" s="24">
        <v>24.386666666666667</v>
      </c>
      <c r="BZ127">
        <v>0.68049792531120334</v>
      </c>
      <c r="CA127">
        <v>0.96610169491525422</v>
      </c>
      <c r="CB127">
        <v>0.68049792531120334</v>
      </c>
    </row>
    <row r="128" spans="52:80" x14ac:dyDescent="0.25">
      <c r="AZ128" s="24">
        <v>125</v>
      </c>
      <c r="BA128" s="24">
        <v>0.20658721836771066</v>
      </c>
      <c r="BB128" s="24">
        <v>0</v>
      </c>
      <c r="BC128" s="24">
        <v>25</v>
      </c>
      <c r="BD128" s="24">
        <v>24.583333333333332</v>
      </c>
      <c r="BZ128">
        <v>0.70539419087136934</v>
      </c>
      <c r="CA128">
        <v>0.96610169491525422</v>
      </c>
      <c r="CB128">
        <v>0.70539419087136934</v>
      </c>
    </row>
    <row r="129" spans="52:80" x14ac:dyDescent="0.25">
      <c r="AZ129" s="24">
        <v>126</v>
      </c>
      <c r="BA129" s="24">
        <v>0.20618948958978658</v>
      </c>
      <c r="BB129" s="24">
        <v>1</v>
      </c>
      <c r="BC129" s="24">
        <v>26</v>
      </c>
      <c r="BD129" s="24">
        <v>24.779999999999998</v>
      </c>
      <c r="BZ129">
        <v>0.70954356846473032</v>
      </c>
      <c r="CA129">
        <v>0.96610169491525422</v>
      </c>
      <c r="CB129">
        <v>0.70954356846473032</v>
      </c>
    </row>
    <row r="130" spans="52:80" x14ac:dyDescent="0.25">
      <c r="AZ130" s="24">
        <v>127</v>
      </c>
      <c r="BA130" s="24">
        <v>0.20555609796884997</v>
      </c>
      <c r="BB130" s="24">
        <v>1</v>
      </c>
      <c r="BC130" s="24">
        <v>27</v>
      </c>
      <c r="BD130" s="24">
        <v>24.976666666666667</v>
      </c>
      <c r="BZ130">
        <v>0.71784232365145229</v>
      </c>
      <c r="CA130">
        <v>0.96610169491525422</v>
      </c>
      <c r="CB130">
        <v>0.71784232365145229</v>
      </c>
    </row>
    <row r="131" spans="52:80" x14ac:dyDescent="0.25">
      <c r="AZ131" s="24">
        <v>128</v>
      </c>
      <c r="BA131" s="24">
        <v>0.20555609796884997</v>
      </c>
      <c r="BB131" s="24">
        <v>0</v>
      </c>
      <c r="BC131" s="24">
        <v>27</v>
      </c>
      <c r="BD131" s="24">
        <v>25.173333333333332</v>
      </c>
      <c r="BZ131">
        <v>0.71784232365145229</v>
      </c>
      <c r="CA131">
        <v>0.98305084745762716</v>
      </c>
      <c r="CB131">
        <v>0.71784232365145229</v>
      </c>
    </row>
    <row r="132" spans="52:80" x14ac:dyDescent="0.25">
      <c r="AZ132" s="24">
        <v>129</v>
      </c>
      <c r="BA132" s="24">
        <v>0.20515984102163715</v>
      </c>
      <c r="BB132" s="24">
        <v>0</v>
      </c>
      <c r="BC132" s="24">
        <v>27</v>
      </c>
      <c r="BD132" s="24">
        <v>25.369999999999997</v>
      </c>
      <c r="BZ132">
        <v>0.72614107883817425</v>
      </c>
      <c r="CA132">
        <v>0.98305084745762716</v>
      </c>
      <c r="CB132">
        <v>0.72614107883817425</v>
      </c>
    </row>
    <row r="133" spans="52:80" x14ac:dyDescent="0.25">
      <c r="AZ133" s="24">
        <v>130</v>
      </c>
      <c r="BA133" s="24">
        <v>0.20515984102163715</v>
      </c>
      <c r="BB133" s="24">
        <v>0</v>
      </c>
      <c r="BC133" s="24">
        <v>27</v>
      </c>
      <c r="BD133" s="24">
        <v>25.566666666666666</v>
      </c>
      <c r="BZ133">
        <v>0.73029045643153523</v>
      </c>
      <c r="CA133">
        <v>0.98305084745762716</v>
      </c>
      <c r="CB133">
        <v>0.73029045643153523</v>
      </c>
    </row>
    <row r="134" spans="52:80" x14ac:dyDescent="0.25">
      <c r="AZ134" s="24">
        <v>131</v>
      </c>
      <c r="BA134" s="24">
        <v>0.20452879741603713</v>
      </c>
      <c r="BB134" s="24">
        <v>0</v>
      </c>
      <c r="BC134" s="24">
        <v>27</v>
      </c>
      <c r="BD134" s="24">
        <v>25.763333333333332</v>
      </c>
      <c r="BZ134">
        <v>0.73443983402489632</v>
      </c>
      <c r="CA134">
        <v>0.98305084745762716</v>
      </c>
      <c r="CB134">
        <v>0.73443983402489632</v>
      </c>
    </row>
    <row r="135" spans="52:80" x14ac:dyDescent="0.25">
      <c r="AZ135" s="24">
        <v>132</v>
      </c>
      <c r="BA135" s="24">
        <v>0.20452879741603713</v>
      </c>
      <c r="BB135" s="24">
        <v>0</v>
      </c>
      <c r="BC135" s="24">
        <v>27</v>
      </c>
      <c r="BD135" s="24">
        <v>25.959999999999997</v>
      </c>
      <c r="BZ135">
        <v>0.7385892116182573</v>
      </c>
      <c r="CA135">
        <v>0.98305084745762716</v>
      </c>
      <c r="CB135">
        <v>0.7385892116182573</v>
      </c>
    </row>
    <row r="136" spans="52:80" x14ac:dyDescent="0.25">
      <c r="AZ136" s="24">
        <v>133</v>
      </c>
      <c r="BA136" s="24">
        <v>0.20452879741603713</v>
      </c>
      <c r="BB136" s="24">
        <v>0</v>
      </c>
      <c r="BC136" s="24">
        <v>27</v>
      </c>
      <c r="BD136" s="24">
        <v>26.156666666666666</v>
      </c>
      <c r="BZ136">
        <v>0.74273858921161828</v>
      </c>
      <c r="CA136">
        <v>0.98305084745762716</v>
      </c>
      <c r="CB136">
        <v>0.74273858921161828</v>
      </c>
    </row>
    <row r="137" spans="52:80" x14ac:dyDescent="0.25">
      <c r="AZ137" s="24">
        <v>134</v>
      </c>
      <c r="BA137" s="24">
        <v>0.20350531581163517</v>
      </c>
      <c r="BB137" s="24">
        <v>0</v>
      </c>
      <c r="BC137" s="24">
        <v>27</v>
      </c>
      <c r="BD137" s="24">
        <v>26.353333333333332</v>
      </c>
      <c r="BZ137">
        <v>0.74688796680497926</v>
      </c>
      <c r="CA137">
        <v>0.98305084745762716</v>
      </c>
      <c r="CB137">
        <v>0.74688796680497926</v>
      </c>
    </row>
    <row r="138" spans="52:80" x14ac:dyDescent="0.25">
      <c r="AZ138" s="24">
        <v>135</v>
      </c>
      <c r="BA138" s="24">
        <v>0.20350531581163517</v>
      </c>
      <c r="BB138" s="24">
        <v>1</v>
      </c>
      <c r="BC138" s="24">
        <v>28</v>
      </c>
      <c r="BD138" s="24">
        <v>26.549999999999997</v>
      </c>
      <c r="BZ138">
        <v>0.75933609958506221</v>
      </c>
      <c r="CA138">
        <v>1</v>
      </c>
      <c r="CB138">
        <v>0.75933609958506221</v>
      </c>
    </row>
    <row r="139" spans="52:80" x14ac:dyDescent="0.25">
      <c r="AZ139" s="24">
        <v>136</v>
      </c>
      <c r="BA139" s="24">
        <v>0.20248565211354086</v>
      </c>
      <c r="BB139" s="24">
        <v>1</v>
      </c>
      <c r="BC139" s="24">
        <v>29</v>
      </c>
      <c r="BD139" s="24">
        <v>26.746666666666666</v>
      </c>
      <c r="BZ139">
        <v>0.76348547717842319</v>
      </c>
      <c r="CA139">
        <v>1</v>
      </c>
      <c r="CB139">
        <v>0.76348547717842319</v>
      </c>
    </row>
    <row r="140" spans="52:80" x14ac:dyDescent="0.25">
      <c r="AZ140" s="24">
        <v>137</v>
      </c>
      <c r="BA140" s="24">
        <v>0.20146980513632695</v>
      </c>
      <c r="BB140" s="24">
        <v>1</v>
      </c>
      <c r="BC140" s="24">
        <v>30</v>
      </c>
      <c r="BD140" s="24">
        <v>26.943333333333332</v>
      </c>
      <c r="BZ140">
        <v>0.77178423236514526</v>
      </c>
      <c r="CA140">
        <v>1</v>
      </c>
      <c r="CB140">
        <v>0.77178423236514526</v>
      </c>
    </row>
    <row r="141" spans="52:80" x14ac:dyDescent="0.25">
      <c r="AZ141" s="24">
        <v>138</v>
      </c>
      <c r="BA141" s="24">
        <v>0.20146980513632695</v>
      </c>
      <c r="BB141" s="24">
        <v>0</v>
      </c>
      <c r="BC141" s="24">
        <v>30</v>
      </c>
      <c r="BD141" s="24">
        <v>27.139999999999997</v>
      </c>
      <c r="BZ141">
        <v>0.77593360995850624</v>
      </c>
      <c r="CA141">
        <v>1</v>
      </c>
      <c r="CB141">
        <v>0.77593360995850624</v>
      </c>
    </row>
    <row r="142" spans="52:80" x14ac:dyDescent="0.25">
      <c r="AZ142" s="24">
        <v>139</v>
      </c>
      <c r="BA142" s="24">
        <v>0.20146980513632695</v>
      </c>
      <c r="BB142" s="24">
        <v>1</v>
      </c>
      <c r="BC142" s="24">
        <v>31</v>
      </c>
      <c r="BD142" s="24">
        <v>27.336666666666666</v>
      </c>
      <c r="BZ142">
        <v>0.78008298755186722</v>
      </c>
      <c r="CA142">
        <v>1</v>
      </c>
      <c r="CB142">
        <v>0.78008298755186722</v>
      </c>
    </row>
    <row r="143" spans="52:80" x14ac:dyDescent="0.25">
      <c r="AZ143" s="24">
        <v>140</v>
      </c>
      <c r="BA143" s="24">
        <v>0.20146980513632695</v>
      </c>
      <c r="BB143" s="24">
        <v>0</v>
      </c>
      <c r="BC143" s="24">
        <v>31</v>
      </c>
      <c r="BD143" s="24">
        <v>27.533333333333331</v>
      </c>
      <c r="BZ143">
        <v>0.78423236514522821</v>
      </c>
      <c r="CA143">
        <v>1</v>
      </c>
      <c r="CB143">
        <v>0.78423236514522821</v>
      </c>
    </row>
    <row r="144" spans="52:80" x14ac:dyDescent="0.25">
      <c r="AZ144" s="24">
        <v>141</v>
      </c>
      <c r="BA144" s="24">
        <v>0.20045777355238872</v>
      </c>
      <c r="BB144" s="24">
        <v>0</v>
      </c>
      <c r="BC144" s="24">
        <v>31</v>
      </c>
      <c r="BD144" s="24">
        <v>27.729999999999997</v>
      </c>
      <c r="BZ144">
        <v>0.78838174273858919</v>
      </c>
      <c r="CA144">
        <v>1</v>
      </c>
      <c r="CB144">
        <v>0.78838174273858919</v>
      </c>
    </row>
    <row r="145" spans="52:80" x14ac:dyDescent="0.25">
      <c r="AZ145" s="24">
        <v>142</v>
      </c>
      <c r="BA145" s="24">
        <v>0.20045777355238872</v>
      </c>
      <c r="BB145" s="24">
        <v>0</v>
      </c>
      <c r="BC145" s="24">
        <v>31</v>
      </c>
      <c r="BD145" s="24">
        <v>27.926666666666666</v>
      </c>
      <c r="BZ145">
        <v>0.79253112033195017</v>
      </c>
      <c r="CA145">
        <v>1</v>
      </c>
      <c r="CB145">
        <v>0.79253112033195017</v>
      </c>
    </row>
    <row r="146" spans="52:80" x14ac:dyDescent="0.25">
      <c r="AZ146" s="24">
        <v>143</v>
      </c>
      <c r="BA146" s="24">
        <v>0.19944955589309404</v>
      </c>
      <c r="BB146" s="24">
        <v>0</v>
      </c>
      <c r="BC146" s="24">
        <v>31</v>
      </c>
      <c r="BD146" s="24">
        <v>28.123333333333331</v>
      </c>
      <c r="BZ146">
        <v>0.79668049792531115</v>
      </c>
      <c r="CA146">
        <v>1</v>
      </c>
      <c r="CB146">
        <v>0.79668049792531115</v>
      </c>
    </row>
    <row r="147" spans="52:80" x14ac:dyDescent="0.25">
      <c r="AZ147" s="24">
        <v>144</v>
      </c>
      <c r="BA147" s="24">
        <v>0.19944955589309404</v>
      </c>
      <c r="BB147" s="24">
        <v>1</v>
      </c>
      <c r="BC147" s="24">
        <v>32</v>
      </c>
      <c r="BD147" s="24">
        <v>28.32</v>
      </c>
      <c r="BZ147">
        <v>0.80497925311203322</v>
      </c>
      <c r="CA147">
        <v>1</v>
      </c>
      <c r="CB147">
        <v>0.80497925311203322</v>
      </c>
    </row>
    <row r="148" spans="52:80" x14ac:dyDescent="0.25">
      <c r="AZ148" s="24">
        <v>145</v>
      </c>
      <c r="BA148" s="24">
        <v>0.19944955589309404</v>
      </c>
      <c r="BB148" s="24">
        <v>0</v>
      </c>
      <c r="BC148" s="24">
        <v>32</v>
      </c>
      <c r="BD148" s="24">
        <v>28.516666666666666</v>
      </c>
      <c r="BZ148">
        <v>0.8091286307053942</v>
      </c>
      <c r="CA148">
        <v>1</v>
      </c>
      <c r="CB148">
        <v>0.8091286307053942</v>
      </c>
    </row>
    <row r="149" spans="52:80" x14ac:dyDescent="0.25">
      <c r="AZ149" s="24">
        <v>146</v>
      </c>
      <c r="BA149" s="24">
        <v>0.19944955589309404</v>
      </c>
      <c r="BB149" s="24">
        <v>0</v>
      </c>
      <c r="BC149" s="24">
        <v>32</v>
      </c>
      <c r="BD149" s="24">
        <v>28.713333333333331</v>
      </c>
      <c r="BZ149">
        <v>0.81327800829875518</v>
      </c>
      <c r="CA149">
        <v>1</v>
      </c>
      <c r="CB149">
        <v>0.81327800829875518</v>
      </c>
    </row>
    <row r="150" spans="52:80" x14ac:dyDescent="0.25">
      <c r="AZ150" s="24">
        <v>147</v>
      </c>
      <c r="BA150" s="24">
        <v>0.19906212109071325</v>
      </c>
      <c r="BB150" s="24">
        <v>1</v>
      </c>
      <c r="BC150" s="24">
        <v>33</v>
      </c>
      <c r="BD150" s="24">
        <v>28.91</v>
      </c>
      <c r="BZ150">
        <v>0.81742738589211617</v>
      </c>
      <c r="CA150">
        <v>1</v>
      </c>
      <c r="CB150">
        <v>0.81742738589211617</v>
      </c>
    </row>
    <row r="151" spans="52:80" x14ac:dyDescent="0.25">
      <c r="AZ151" s="24">
        <v>148</v>
      </c>
      <c r="BA151" s="24">
        <v>0.19744455577570397</v>
      </c>
      <c r="BB151" s="24">
        <v>1</v>
      </c>
      <c r="BC151" s="24">
        <v>34</v>
      </c>
      <c r="BD151" s="24">
        <v>29.106666666666666</v>
      </c>
      <c r="BZ151">
        <v>0.82572614107883813</v>
      </c>
      <c r="CA151">
        <v>1</v>
      </c>
      <c r="CB151">
        <v>0.82572614107883813</v>
      </c>
    </row>
    <row r="152" spans="52:80" x14ac:dyDescent="0.25">
      <c r="AZ152" s="24">
        <v>149</v>
      </c>
      <c r="BA152" s="24">
        <v>0.19644776968561939</v>
      </c>
      <c r="BB152" s="24">
        <v>0</v>
      </c>
      <c r="BC152" s="24">
        <v>34</v>
      </c>
      <c r="BD152" s="24">
        <v>29.303333333333331</v>
      </c>
      <c r="BZ152">
        <v>0.82987551867219922</v>
      </c>
      <c r="CA152">
        <v>1</v>
      </c>
      <c r="CB152">
        <v>0.82987551867219922</v>
      </c>
    </row>
    <row r="153" spans="52:80" x14ac:dyDescent="0.25">
      <c r="AZ153" s="24">
        <v>150</v>
      </c>
      <c r="BA153" s="24">
        <v>0.19644776968561939</v>
      </c>
      <c r="BB153" s="24">
        <v>0</v>
      </c>
      <c r="BC153" s="24">
        <v>34</v>
      </c>
      <c r="BD153" s="24">
        <v>29.5</v>
      </c>
      <c r="BZ153">
        <v>0.8340248962655602</v>
      </c>
      <c r="CA153">
        <v>1</v>
      </c>
      <c r="CB153">
        <v>0.8340248962655602</v>
      </c>
    </row>
    <row r="154" spans="52:80" x14ac:dyDescent="0.25">
      <c r="AZ154" s="25">
        <v>151</v>
      </c>
      <c r="BA154" s="25">
        <v>0.19644776968561936</v>
      </c>
      <c r="BB154" s="25">
        <v>1</v>
      </c>
      <c r="BC154" s="25">
        <v>35</v>
      </c>
      <c r="BD154" s="25">
        <v>29.696666666666665</v>
      </c>
      <c r="BZ154">
        <v>0.83817427385892118</v>
      </c>
      <c r="CA154">
        <v>1</v>
      </c>
      <c r="CB154">
        <v>0.83817427385892118</v>
      </c>
    </row>
    <row r="155" spans="52:80" x14ac:dyDescent="0.25">
      <c r="AZ155" s="25">
        <v>152</v>
      </c>
      <c r="BA155" s="25">
        <v>0.19545479025852741</v>
      </c>
      <c r="BB155" s="25">
        <v>1</v>
      </c>
      <c r="BC155" s="25">
        <v>36</v>
      </c>
      <c r="BD155" s="25">
        <v>29.893333333333331</v>
      </c>
      <c r="BZ155">
        <v>0.84647302904564314</v>
      </c>
      <c r="CA155">
        <v>1</v>
      </c>
      <c r="CB155">
        <v>0.84647302904564314</v>
      </c>
    </row>
    <row r="156" spans="52:80" x14ac:dyDescent="0.25">
      <c r="AZ156" s="25">
        <v>153</v>
      </c>
      <c r="BA156" s="25">
        <v>0.19507322448124212</v>
      </c>
      <c r="BB156" s="25">
        <v>0</v>
      </c>
      <c r="BC156" s="25">
        <v>36</v>
      </c>
      <c r="BD156" s="25">
        <v>30.09</v>
      </c>
      <c r="BZ156">
        <v>0.85477178423236511</v>
      </c>
      <c r="CA156">
        <v>1</v>
      </c>
      <c r="CB156">
        <v>0.85477178423236511</v>
      </c>
    </row>
    <row r="157" spans="52:80" x14ac:dyDescent="0.25">
      <c r="AZ157" s="25">
        <v>154</v>
      </c>
      <c r="BA157" s="25">
        <v>0.19507322448124212</v>
      </c>
      <c r="BB157" s="25">
        <v>0</v>
      </c>
      <c r="BC157" s="25">
        <v>36</v>
      </c>
      <c r="BD157" s="25">
        <v>30.286666666666665</v>
      </c>
      <c r="BZ157">
        <v>0.87136929460580914</v>
      </c>
      <c r="CA157">
        <v>1</v>
      </c>
      <c r="CB157">
        <v>0.87136929460580914</v>
      </c>
    </row>
    <row r="158" spans="52:80" x14ac:dyDescent="0.25">
      <c r="AZ158" s="25">
        <v>155</v>
      </c>
      <c r="BA158" s="25">
        <v>0.19507322448124206</v>
      </c>
      <c r="BB158" s="25">
        <v>1</v>
      </c>
      <c r="BC158" s="25">
        <v>37</v>
      </c>
      <c r="BD158" s="25">
        <v>30.483333333333331</v>
      </c>
      <c r="BZ158">
        <v>0.8796680497925311</v>
      </c>
      <c r="CA158">
        <v>1</v>
      </c>
      <c r="CB158">
        <v>0.8796680497925311</v>
      </c>
    </row>
    <row r="159" spans="52:80" x14ac:dyDescent="0.25">
      <c r="AZ159" s="25">
        <v>156</v>
      </c>
      <c r="BA159" s="25">
        <v>0.19446561533805254</v>
      </c>
      <c r="BB159" s="25">
        <v>0</v>
      </c>
      <c r="BC159" s="25">
        <v>37</v>
      </c>
      <c r="BD159" s="25">
        <v>30.68</v>
      </c>
      <c r="BZ159">
        <v>0.88796680497925307</v>
      </c>
      <c r="CA159">
        <v>1</v>
      </c>
      <c r="CB159">
        <v>0.88796680497925307</v>
      </c>
    </row>
    <row r="160" spans="52:80" x14ac:dyDescent="0.25">
      <c r="AZ160" s="25">
        <v>157</v>
      </c>
      <c r="BA160" s="25">
        <v>0.19408551478042207</v>
      </c>
      <c r="BB160" s="25">
        <v>0</v>
      </c>
      <c r="BC160" s="25">
        <v>37</v>
      </c>
      <c r="BD160" s="25">
        <v>30.876666666666665</v>
      </c>
      <c r="BZ160">
        <v>0.89211618257261416</v>
      </c>
      <c r="CA160">
        <v>1</v>
      </c>
      <c r="CB160">
        <v>0.89211618257261416</v>
      </c>
    </row>
    <row r="161" spans="52:80" x14ac:dyDescent="0.25">
      <c r="AZ161" s="25">
        <v>158</v>
      </c>
      <c r="BA161" s="25">
        <v>0.19348024263377261</v>
      </c>
      <c r="BB161" s="25">
        <v>1</v>
      </c>
      <c r="BC161" s="25">
        <v>38</v>
      </c>
      <c r="BD161" s="25">
        <v>31.073333333333331</v>
      </c>
      <c r="BZ161">
        <v>0.90041493775933612</v>
      </c>
      <c r="CA161">
        <v>1</v>
      </c>
      <c r="CB161">
        <v>0.90041493775933612</v>
      </c>
    </row>
    <row r="162" spans="52:80" x14ac:dyDescent="0.25">
      <c r="AZ162" s="25">
        <v>159</v>
      </c>
      <c r="BA162" s="25">
        <v>0.1934802426337725</v>
      </c>
      <c r="BB162" s="25">
        <v>0</v>
      </c>
      <c r="BC162" s="25">
        <v>38</v>
      </c>
      <c r="BD162" s="25">
        <v>31.27</v>
      </c>
      <c r="BZ162">
        <v>0.9045643153526971</v>
      </c>
      <c r="CA162">
        <v>1</v>
      </c>
      <c r="CB162">
        <v>0.9045643153526971</v>
      </c>
    </row>
    <row r="163" spans="52:80" x14ac:dyDescent="0.25">
      <c r="AZ163" s="25">
        <v>160</v>
      </c>
      <c r="BA163" s="25">
        <v>0.1934802426337725</v>
      </c>
      <c r="BB163" s="25">
        <v>0</v>
      </c>
      <c r="BC163" s="25">
        <v>38</v>
      </c>
      <c r="BD163" s="25">
        <v>31.466666666666665</v>
      </c>
      <c r="BZ163">
        <v>0.90871369294605808</v>
      </c>
      <c r="CA163">
        <v>1</v>
      </c>
      <c r="CB163">
        <v>0.90871369294605808</v>
      </c>
    </row>
    <row r="164" spans="52:80" x14ac:dyDescent="0.25">
      <c r="AZ164" s="25">
        <v>161</v>
      </c>
      <c r="BA164" s="25">
        <v>0.19249866972239305</v>
      </c>
      <c r="BB164" s="25">
        <v>1</v>
      </c>
      <c r="BC164" s="25">
        <v>39</v>
      </c>
      <c r="BD164" s="25">
        <v>31.66333333333333</v>
      </c>
      <c r="BZ164">
        <v>0.91286307053941906</v>
      </c>
      <c r="CA164">
        <v>1</v>
      </c>
      <c r="CB164">
        <v>0.91286307053941906</v>
      </c>
    </row>
    <row r="165" spans="52:80" x14ac:dyDescent="0.25">
      <c r="AZ165" s="25">
        <v>162</v>
      </c>
      <c r="BA165" s="25">
        <v>0.19249866972239305</v>
      </c>
      <c r="BB165" s="25">
        <v>0</v>
      </c>
      <c r="BC165" s="25">
        <v>39</v>
      </c>
      <c r="BD165" s="25">
        <v>31.86</v>
      </c>
      <c r="BZ165">
        <v>0.91701244813278004</v>
      </c>
      <c r="CA165">
        <v>1</v>
      </c>
      <c r="CB165">
        <v>0.91701244813278004</v>
      </c>
    </row>
    <row r="166" spans="52:80" x14ac:dyDescent="0.25">
      <c r="AZ166" s="25">
        <v>163</v>
      </c>
      <c r="BA166" s="25">
        <v>0.19249866972239305</v>
      </c>
      <c r="BB166" s="25">
        <v>0</v>
      </c>
      <c r="BC166" s="25">
        <v>39</v>
      </c>
      <c r="BD166" s="25">
        <v>32.056666666666665</v>
      </c>
      <c r="BZ166">
        <v>0.92116182572614103</v>
      </c>
      <c r="CA166">
        <v>1</v>
      </c>
      <c r="CB166">
        <v>0.92116182572614103</v>
      </c>
    </row>
    <row r="167" spans="52:80" x14ac:dyDescent="0.25">
      <c r="AZ167" s="25">
        <v>164</v>
      </c>
      <c r="BA167" s="25">
        <v>0.19249866972239305</v>
      </c>
      <c r="BB167" s="25">
        <v>0</v>
      </c>
      <c r="BC167" s="25">
        <v>39</v>
      </c>
      <c r="BD167" s="25">
        <v>32.25333333333333</v>
      </c>
      <c r="BZ167">
        <v>0.92531120331950212</v>
      </c>
      <c r="CA167">
        <v>1</v>
      </c>
      <c r="CB167">
        <v>0.92531120331950212</v>
      </c>
    </row>
    <row r="168" spans="52:80" x14ac:dyDescent="0.25">
      <c r="AZ168" s="25">
        <v>165</v>
      </c>
      <c r="BA168" s="25">
        <v>0.19152089404892439</v>
      </c>
      <c r="BB168" s="25">
        <v>0</v>
      </c>
      <c r="BC168" s="25">
        <v>39</v>
      </c>
      <c r="BD168" s="25">
        <v>32.449999999999996</v>
      </c>
      <c r="BZ168">
        <v>0.93775933609958506</v>
      </c>
      <c r="CA168">
        <v>1</v>
      </c>
      <c r="CB168">
        <v>0.93775933609958506</v>
      </c>
    </row>
    <row r="169" spans="52:80" x14ac:dyDescent="0.25">
      <c r="AZ169" s="25">
        <v>166</v>
      </c>
      <c r="BA169" s="25">
        <v>0.19114518343924591</v>
      </c>
      <c r="BB169" s="25">
        <v>0</v>
      </c>
      <c r="BC169" s="25">
        <v>39</v>
      </c>
      <c r="BD169" s="25">
        <v>32.646666666666668</v>
      </c>
      <c r="BZ169">
        <v>0.94190871369294604</v>
      </c>
      <c r="CA169">
        <v>1</v>
      </c>
      <c r="CB169">
        <v>0.94190871369294604</v>
      </c>
    </row>
    <row r="170" spans="52:80" x14ac:dyDescent="0.25">
      <c r="AZ170" s="25">
        <v>167</v>
      </c>
      <c r="BA170" s="25">
        <v>0.19054691292786108</v>
      </c>
      <c r="BB170" s="25">
        <v>0</v>
      </c>
      <c r="BC170" s="25">
        <v>39</v>
      </c>
      <c r="BD170" s="25">
        <v>32.843333333333334</v>
      </c>
      <c r="BZ170">
        <v>0.950207468879668</v>
      </c>
      <c r="CA170">
        <v>1</v>
      </c>
      <c r="CB170">
        <v>0.950207468879668</v>
      </c>
    </row>
    <row r="171" spans="52:80" x14ac:dyDescent="0.25">
      <c r="AZ171" s="25">
        <v>168</v>
      </c>
      <c r="BA171" s="25">
        <v>0.19054691292786108</v>
      </c>
      <c r="BB171" s="25">
        <v>0</v>
      </c>
      <c r="BC171" s="25">
        <v>39</v>
      </c>
      <c r="BD171" s="25">
        <v>33.04</v>
      </c>
      <c r="BZ171">
        <v>0.9543568464730291</v>
      </c>
      <c r="CA171">
        <v>1</v>
      </c>
      <c r="CB171">
        <v>0.9543568464730291</v>
      </c>
    </row>
    <row r="172" spans="52:80" x14ac:dyDescent="0.25">
      <c r="AZ172" s="25">
        <v>169</v>
      </c>
      <c r="BA172" s="25">
        <v>0.19054691292786108</v>
      </c>
      <c r="BB172" s="25">
        <v>0</v>
      </c>
      <c r="BC172" s="25">
        <v>39</v>
      </c>
      <c r="BD172" s="25">
        <v>33.236666666666665</v>
      </c>
      <c r="BZ172">
        <v>0.95850622406639008</v>
      </c>
      <c r="CA172">
        <v>1</v>
      </c>
      <c r="CB172">
        <v>0.95850622406639008</v>
      </c>
    </row>
    <row r="173" spans="52:80" x14ac:dyDescent="0.25">
      <c r="AZ173" s="25">
        <v>170</v>
      </c>
      <c r="BA173" s="25">
        <v>0.18957672354436342</v>
      </c>
      <c r="BB173" s="25">
        <v>1</v>
      </c>
      <c r="BC173" s="25">
        <v>40</v>
      </c>
      <c r="BD173" s="25">
        <v>33.43333333333333</v>
      </c>
      <c r="BZ173">
        <v>0.96265560165975106</v>
      </c>
      <c r="CA173">
        <v>1</v>
      </c>
      <c r="CB173">
        <v>0.96265560165975106</v>
      </c>
    </row>
    <row r="174" spans="52:80" x14ac:dyDescent="0.25">
      <c r="AZ174" s="25">
        <v>171</v>
      </c>
      <c r="BA174" s="25">
        <v>0.18957672354436336</v>
      </c>
      <c r="BB174" s="25">
        <v>0</v>
      </c>
      <c r="BC174" s="25">
        <v>40</v>
      </c>
      <c r="BD174" s="25">
        <v>33.629999999999995</v>
      </c>
      <c r="BZ174">
        <v>0.975103734439834</v>
      </c>
      <c r="CA174">
        <v>1</v>
      </c>
      <c r="CB174">
        <v>0.975103734439834</v>
      </c>
    </row>
    <row r="175" spans="52:80" x14ac:dyDescent="0.25">
      <c r="AZ175" s="25">
        <v>172</v>
      </c>
      <c r="BA175" s="25">
        <v>0.18920393430435881</v>
      </c>
      <c r="BB175" s="25">
        <v>1</v>
      </c>
      <c r="BC175" s="25">
        <v>41</v>
      </c>
      <c r="BD175" s="25">
        <v>33.826666666666668</v>
      </c>
      <c r="BZ175">
        <v>0.97925311203319498</v>
      </c>
      <c r="CA175">
        <v>1</v>
      </c>
      <c r="CB175">
        <v>0.97925311203319498</v>
      </c>
    </row>
    <row r="176" spans="52:80" x14ac:dyDescent="0.25">
      <c r="AZ176" s="25">
        <v>173</v>
      </c>
      <c r="BA176" s="25">
        <v>0.18861032295544114</v>
      </c>
      <c r="BB176" s="25">
        <v>0</v>
      </c>
      <c r="BC176" s="25">
        <v>41</v>
      </c>
      <c r="BD176" s="25">
        <v>34.023333333333333</v>
      </c>
      <c r="BZ176">
        <v>0.98340248962655596</v>
      </c>
      <c r="CA176">
        <v>1</v>
      </c>
      <c r="CB176">
        <v>0.98340248962655596</v>
      </c>
    </row>
    <row r="177" spans="52:80" x14ac:dyDescent="0.25">
      <c r="AZ177" s="25">
        <v>174</v>
      </c>
      <c r="BA177" s="25">
        <v>0.18861032295544114</v>
      </c>
      <c r="BB177" s="25">
        <v>0</v>
      </c>
      <c r="BC177" s="25">
        <v>41</v>
      </c>
      <c r="BD177" s="25">
        <v>34.22</v>
      </c>
      <c r="BZ177">
        <v>0.98755186721991706</v>
      </c>
      <c r="CA177">
        <v>1</v>
      </c>
      <c r="CB177">
        <v>0.98755186721991706</v>
      </c>
    </row>
    <row r="178" spans="52:80" x14ac:dyDescent="0.25">
      <c r="AZ178" s="25">
        <v>175</v>
      </c>
      <c r="BA178" s="25">
        <v>0.18823899267304145</v>
      </c>
      <c r="BB178" s="25">
        <v>0</v>
      </c>
      <c r="BC178" s="25">
        <v>41</v>
      </c>
      <c r="BD178" s="25">
        <v>34.416666666666664</v>
      </c>
      <c r="BZ178">
        <v>0.99170124481327804</v>
      </c>
      <c r="CA178">
        <v>1</v>
      </c>
      <c r="CB178">
        <v>0.99170124481327804</v>
      </c>
    </row>
    <row r="179" spans="52:80" x14ac:dyDescent="0.25">
      <c r="AZ179" s="25">
        <v>176</v>
      </c>
      <c r="BA179" s="25">
        <v>0.18764770809113901</v>
      </c>
      <c r="BB179" s="25">
        <v>1</v>
      </c>
      <c r="BC179" s="25">
        <v>42</v>
      </c>
      <c r="BD179" s="25">
        <v>34.61333333333333</v>
      </c>
      <c r="BZ179">
        <v>0.99585062240663902</v>
      </c>
      <c r="CA179">
        <v>1</v>
      </c>
      <c r="CB179">
        <v>0.99585062240663902</v>
      </c>
    </row>
    <row r="180" spans="52:80" x14ac:dyDescent="0.25">
      <c r="AZ180" s="25">
        <v>177</v>
      </c>
      <c r="BA180" s="25">
        <v>0.18727783554990246</v>
      </c>
      <c r="BB180" s="25">
        <v>1</v>
      </c>
      <c r="BC180" s="25">
        <v>43</v>
      </c>
      <c r="BD180" s="25">
        <v>34.809999999999995</v>
      </c>
      <c r="BZ180">
        <v>1</v>
      </c>
      <c r="CA180">
        <v>1</v>
      </c>
      <c r="CB180">
        <v>1</v>
      </c>
    </row>
    <row r="181" spans="52:80" x14ac:dyDescent="0.25">
      <c r="AZ181" s="25">
        <v>178</v>
      </c>
      <c r="BA181" s="25">
        <v>0.18668887575572407</v>
      </c>
      <c r="BB181" s="25">
        <v>1</v>
      </c>
      <c r="BC181" s="25">
        <v>44</v>
      </c>
      <c r="BD181" s="25">
        <v>35.006666666666668</v>
      </c>
    </row>
    <row r="182" spans="52:80" x14ac:dyDescent="0.25">
      <c r="AZ182" s="25">
        <v>179</v>
      </c>
      <c r="BA182" s="25">
        <v>0.18668887575572407</v>
      </c>
      <c r="BB182" s="25">
        <v>1</v>
      </c>
      <c r="BC182" s="25">
        <v>45</v>
      </c>
      <c r="BD182" s="25">
        <v>35.203333333333333</v>
      </c>
    </row>
    <row r="183" spans="52:80" x14ac:dyDescent="0.25">
      <c r="AZ183" s="25">
        <v>180</v>
      </c>
      <c r="BA183" s="25">
        <v>0.18632045969106534</v>
      </c>
      <c r="BB183" s="25">
        <v>0</v>
      </c>
      <c r="BC183" s="25">
        <v>45</v>
      </c>
      <c r="BD183" s="25">
        <v>35.4</v>
      </c>
    </row>
    <row r="184" spans="52:80" x14ac:dyDescent="0.25">
      <c r="AZ184" s="24">
        <v>181</v>
      </c>
      <c r="BA184" s="24">
        <v>0.18573382262887414</v>
      </c>
      <c r="BB184" s="24">
        <v>1</v>
      </c>
      <c r="BC184" s="24">
        <v>46</v>
      </c>
      <c r="BD184" s="24">
        <v>35.596666666666664</v>
      </c>
    </row>
    <row r="185" spans="52:80" x14ac:dyDescent="0.25">
      <c r="AZ185" s="24">
        <v>182</v>
      </c>
      <c r="BA185" s="24">
        <v>0.18573382262887414</v>
      </c>
      <c r="BB185" s="24">
        <v>1</v>
      </c>
      <c r="BC185" s="24">
        <v>47</v>
      </c>
      <c r="BD185" s="24">
        <v>35.793333333333329</v>
      </c>
    </row>
    <row r="186" spans="52:80" x14ac:dyDescent="0.25">
      <c r="AZ186" s="24">
        <v>183</v>
      </c>
      <c r="BA186" s="24">
        <v>0.18573382262887414</v>
      </c>
      <c r="BB186" s="24">
        <v>1</v>
      </c>
      <c r="BC186" s="24">
        <v>48</v>
      </c>
      <c r="BD186" s="24">
        <v>35.989999999999995</v>
      </c>
    </row>
    <row r="187" spans="52:80" x14ac:dyDescent="0.25">
      <c r="AZ187" s="24">
        <v>184</v>
      </c>
      <c r="BA187" s="24">
        <v>0.18573382262887414</v>
      </c>
      <c r="BB187" s="24">
        <v>1</v>
      </c>
      <c r="BC187" s="24">
        <v>49</v>
      </c>
      <c r="BD187" s="24">
        <v>36.186666666666667</v>
      </c>
    </row>
    <row r="188" spans="52:80" x14ac:dyDescent="0.25">
      <c r="AZ188" s="24">
        <v>185</v>
      </c>
      <c r="BA188" s="24">
        <v>0.18573382262887411</v>
      </c>
      <c r="BB188" s="24">
        <v>0</v>
      </c>
      <c r="BC188" s="24">
        <v>49</v>
      </c>
      <c r="BD188" s="24">
        <v>36.383333333333333</v>
      </c>
    </row>
    <row r="189" spans="52:80" x14ac:dyDescent="0.25">
      <c r="AZ189" s="24">
        <v>186</v>
      </c>
      <c r="BA189" s="24">
        <v>0.18478254526686791</v>
      </c>
      <c r="BB189" s="24">
        <v>1</v>
      </c>
      <c r="BC189" s="24">
        <v>50</v>
      </c>
      <c r="BD189" s="24">
        <v>36.58</v>
      </c>
    </row>
    <row r="190" spans="52:80" x14ac:dyDescent="0.25">
      <c r="AZ190" s="24">
        <v>187</v>
      </c>
      <c r="BA190" s="24">
        <v>0.18478254526686791</v>
      </c>
      <c r="BB190" s="24">
        <v>0</v>
      </c>
      <c r="BC190" s="24">
        <v>50</v>
      </c>
      <c r="BD190" s="24">
        <v>36.776666666666664</v>
      </c>
    </row>
    <row r="191" spans="52:80" x14ac:dyDescent="0.25">
      <c r="AZ191" s="24">
        <v>188</v>
      </c>
      <c r="BA191" s="24">
        <v>0.18478254526686791</v>
      </c>
      <c r="BB191" s="24">
        <v>0</v>
      </c>
      <c r="BC191" s="24">
        <v>50</v>
      </c>
      <c r="BD191" s="24">
        <v>36.973333333333329</v>
      </c>
    </row>
    <row r="192" spans="52:80" x14ac:dyDescent="0.25">
      <c r="AZ192" s="24">
        <v>189</v>
      </c>
      <c r="BA192" s="24">
        <v>0.18441703817132818</v>
      </c>
      <c r="BB192" s="24">
        <v>0</v>
      </c>
      <c r="BC192" s="24">
        <v>50</v>
      </c>
      <c r="BD192" s="24">
        <v>37.169999999999995</v>
      </c>
    </row>
    <row r="193" spans="52:56" x14ac:dyDescent="0.25">
      <c r="AZ193" s="24">
        <v>190</v>
      </c>
      <c r="BA193" s="24">
        <v>0.18347098540678453</v>
      </c>
      <c r="BB193" s="24">
        <v>1</v>
      </c>
      <c r="BC193" s="24">
        <v>51</v>
      </c>
      <c r="BD193" s="24">
        <v>37.366666666666667</v>
      </c>
    </row>
    <row r="194" spans="52:56" x14ac:dyDescent="0.25">
      <c r="AZ194" s="24">
        <v>191</v>
      </c>
      <c r="BA194" s="24">
        <v>0.18289130345265359</v>
      </c>
      <c r="BB194" s="24">
        <v>1</v>
      </c>
      <c r="BC194" s="24">
        <v>52</v>
      </c>
      <c r="BD194" s="24">
        <v>37.563333333333333</v>
      </c>
    </row>
    <row r="195" spans="52:56" x14ac:dyDescent="0.25">
      <c r="AZ195" s="24">
        <v>192</v>
      </c>
      <c r="BA195" s="24">
        <v>0.1815901772032768</v>
      </c>
      <c r="BB195" s="24">
        <v>1</v>
      </c>
      <c r="BC195" s="24">
        <v>53</v>
      </c>
      <c r="BD195" s="24">
        <v>37.76</v>
      </c>
    </row>
    <row r="196" spans="52:56" x14ac:dyDescent="0.25">
      <c r="AZ196" s="24">
        <v>193</v>
      </c>
      <c r="BA196" s="24">
        <v>0.18101512034061376</v>
      </c>
      <c r="BB196" s="24">
        <v>1</v>
      </c>
      <c r="BC196" s="24">
        <v>54</v>
      </c>
      <c r="BD196" s="24">
        <v>37.956666666666663</v>
      </c>
    </row>
    <row r="197" spans="52:56" x14ac:dyDescent="0.25">
      <c r="AZ197" s="24">
        <v>194</v>
      </c>
      <c r="BA197" s="24">
        <v>0.1806554139409112</v>
      </c>
      <c r="BB197" s="24">
        <v>0</v>
      </c>
      <c r="BC197" s="24">
        <v>54</v>
      </c>
      <c r="BD197" s="24">
        <v>38.153333333333329</v>
      </c>
    </row>
    <row r="198" spans="52:56" x14ac:dyDescent="0.25">
      <c r="AZ198" s="24">
        <v>195</v>
      </c>
      <c r="BA198" s="24">
        <v>0.18008266591146496</v>
      </c>
      <c r="BB198" s="24">
        <v>0</v>
      </c>
      <c r="BC198" s="24">
        <v>54</v>
      </c>
      <c r="BD198" s="24">
        <v>38.35</v>
      </c>
    </row>
    <row r="199" spans="52:56" x14ac:dyDescent="0.25">
      <c r="AZ199" s="24">
        <v>196</v>
      </c>
      <c r="BA199" s="24">
        <v>0.17915396406021078</v>
      </c>
      <c r="BB199" s="24">
        <v>0</v>
      </c>
      <c r="BC199" s="24">
        <v>54</v>
      </c>
      <c r="BD199" s="24">
        <v>38.546666666666667</v>
      </c>
    </row>
    <row r="200" spans="52:56" x14ac:dyDescent="0.25">
      <c r="AZ200" s="24">
        <v>197</v>
      </c>
      <c r="BA200" s="24">
        <v>0.17822901051272877</v>
      </c>
      <c r="BB200" s="24">
        <v>0</v>
      </c>
      <c r="BC200" s="24">
        <v>54</v>
      </c>
      <c r="BD200" s="24">
        <v>38.743333333333332</v>
      </c>
    </row>
    <row r="201" spans="52:56" x14ac:dyDescent="0.25">
      <c r="AZ201" s="24">
        <v>198</v>
      </c>
      <c r="BA201" s="24">
        <v>0.17730780088104356</v>
      </c>
      <c r="BB201" s="24">
        <v>0</v>
      </c>
      <c r="BC201" s="24">
        <v>54</v>
      </c>
      <c r="BD201" s="24">
        <v>38.94</v>
      </c>
    </row>
    <row r="202" spans="52:56" x14ac:dyDescent="0.25">
      <c r="AZ202" s="24">
        <v>199</v>
      </c>
      <c r="BA202" s="24">
        <v>0.17695386976663885</v>
      </c>
      <c r="BB202" s="24">
        <v>0</v>
      </c>
      <c r="BC202" s="24">
        <v>54</v>
      </c>
      <c r="BD202" s="24">
        <v>39.136666666666663</v>
      </c>
    </row>
    <row r="203" spans="52:56" x14ac:dyDescent="0.25">
      <c r="AZ203" s="24">
        <v>200</v>
      </c>
      <c r="BA203" s="24">
        <v>0.17695386976663885</v>
      </c>
      <c r="BB203" s="24">
        <v>0</v>
      </c>
      <c r="BC203" s="24">
        <v>54</v>
      </c>
      <c r="BD203" s="24">
        <v>39.333333333333329</v>
      </c>
    </row>
    <row r="204" spans="52:56" x14ac:dyDescent="0.25">
      <c r="AZ204" s="24">
        <v>201</v>
      </c>
      <c r="BA204" s="24">
        <v>0.17639033066452067</v>
      </c>
      <c r="BB204" s="24">
        <v>0</v>
      </c>
      <c r="BC204" s="24">
        <v>54</v>
      </c>
      <c r="BD204" s="24">
        <v>39.53</v>
      </c>
    </row>
    <row r="205" spans="52:56" x14ac:dyDescent="0.25">
      <c r="AZ205" s="24">
        <v>202</v>
      </c>
      <c r="BA205" s="24">
        <v>0.17639033066452067</v>
      </c>
      <c r="BB205" s="24">
        <v>0</v>
      </c>
      <c r="BC205" s="24">
        <v>54</v>
      </c>
      <c r="BD205" s="24">
        <v>39.726666666666667</v>
      </c>
    </row>
    <row r="206" spans="52:56" x14ac:dyDescent="0.25">
      <c r="AZ206" s="24">
        <v>203</v>
      </c>
      <c r="BA206" s="24">
        <v>0.17639033066452067</v>
      </c>
      <c r="BB206" s="24">
        <v>0</v>
      </c>
      <c r="BC206" s="24">
        <v>54</v>
      </c>
      <c r="BD206" s="24">
        <v>39.923333333333332</v>
      </c>
    </row>
    <row r="207" spans="52:56" x14ac:dyDescent="0.25">
      <c r="AZ207" s="24">
        <v>204</v>
      </c>
      <c r="BA207" s="24">
        <v>0.17639033066452064</v>
      </c>
      <c r="BB207" s="24">
        <v>1</v>
      </c>
      <c r="BC207" s="24">
        <v>55</v>
      </c>
      <c r="BD207" s="24">
        <v>40.119999999999997</v>
      </c>
    </row>
    <row r="208" spans="52:56" x14ac:dyDescent="0.25">
      <c r="AZ208" s="24">
        <v>205</v>
      </c>
      <c r="BA208" s="24">
        <v>0.17603783907012496</v>
      </c>
      <c r="BB208" s="24">
        <v>0</v>
      </c>
      <c r="BC208" s="24">
        <v>55</v>
      </c>
      <c r="BD208" s="24">
        <v>40.316666666666663</v>
      </c>
    </row>
    <row r="209" spans="52:56" x14ac:dyDescent="0.25">
      <c r="AZ209" s="24">
        <v>206</v>
      </c>
      <c r="BA209" s="24">
        <v>0.17547659525106013</v>
      </c>
      <c r="BB209" s="24">
        <v>0</v>
      </c>
      <c r="BC209" s="24">
        <v>55</v>
      </c>
      <c r="BD209" s="24">
        <v>40.513333333333328</v>
      </c>
    </row>
    <row r="210" spans="52:56" x14ac:dyDescent="0.25">
      <c r="AZ210" s="24">
        <v>207</v>
      </c>
      <c r="BA210" s="24">
        <v>0.17547659525106013</v>
      </c>
      <c r="BB210" s="24">
        <v>0</v>
      </c>
      <c r="BC210" s="24">
        <v>55</v>
      </c>
      <c r="BD210" s="24">
        <v>40.71</v>
      </c>
    </row>
    <row r="211" spans="52:56" x14ac:dyDescent="0.25">
      <c r="AZ211" s="24">
        <v>208</v>
      </c>
      <c r="BA211" s="24">
        <v>0.17456658991828952</v>
      </c>
      <c r="BB211" s="24">
        <v>0</v>
      </c>
      <c r="BC211" s="24">
        <v>55</v>
      </c>
      <c r="BD211" s="24">
        <v>40.906666666666666</v>
      </c>
    </row>
    <row r="212" spans="52:56" x14ac:dyDescent="0.25">
      <c r="AZ212" s="24">
        <v>209</v>
      </c>
      <c r="BA212" s="24">
        <v>0.17456658991828952</v>
      </c>
      <c r="BB212" s="24">
        <v>1</v>
      </c>
      <c r="BC212" s="24">
        <v>56</v>
      </c>
      <c r="BD212" s="24">
        <v>41.103333333333332</v>
      </c>
    </row>
    <row r="213" spans="52:56" x14ac:dyDescent="0.25">
      <c r="AZ213" s="24">
        <v>210</v>
      </c>
      <c r="BA213" s="24">
        <v>0.17366030983475642</v>
      </c>
      <c r="BB213" s="24">
        <v>0</v>
      </c>
      <c r="BC213" s="24">
        <v>56</v>
      </c>
      <c r="BD213" s="24">
        <v>41.3</v>
      </c>
    </row>
    <row r="214" spans="52:56" x14ac:dyDescent="0.25">
      <c r="AZ214" s="25">
        <v>211</v>
      </c>
      <c r="BA214" s="25">
        <v>0.17366030983475642</v>
      </c>
      <c r="BB214" s="25">
        <v>0</v>
      </c>
      <c r="BC214" s="25">
        <v>56</v>
      </c>
      <c r="BD214" s="25">
        <v>41.496666666666663</v>
      </c>
    </row>
    <row r="215" spans="52:56" x14ac:dyDescent="0.25">
      <c r="AZ215" s="25">
        <v>212</v>
      </c>
      <c r="BA215" s="25">
        <v>0.17275775006111982</v>
      </c>
      <c r="BB215" s="25">
        <v>0</v>
      </c>
      <c r="BC215" s="25">
        <v>56</v>
      </c>
      <c r="BD215" s="25">
        <v>41.693333333333328</v>
      </c>
    </row>
    <row r="216" spans="52:56" x14ac:dyDescent="0.25">
      <c r="AZ216" s="25">
        <v>213</v>
      </c>
      <c r="BA216" s="25">
        <v>0.17241099806266111</v>
      </c>
      <c r="BB216" s="25">
        <v>0</v>
      </c>
      <c r="BC216" s="25">
        <v>56</v>
      </c>
      <c r="BD216" s="25">
        <v>41.89</v>
      </c>
    </row>
    <row r="217" spans="52:56" x14ac:dyDescent="0.25">
      <c r="AZ217" s="25">
        <v>214</v>
      </c>
      <c r="BA217" s="25">
        <v>0.17241099806266111</v>
      </c>
      <c r="BB217" s="25">
        <v>0</v>
      </c>
      <c r="BC217" s="25">
        <v>56</v>
      </c>
      <c r="BD217" s="25">
        <v>42.086666666666666</v>
      </c>
    </row>
    <row r="218" spans="52:56" x14ac:dyDescent="0.25">
      <c r="AZ218" s="25">
        <v>215</v>
      </c>
      <c r="BA218" s="25">
        <v>0.17185890555134051</v>
      </c>
      <c r="BB218" s="25">
        <v>1</v>
      </c>
      <c r="BC218" s="25">
        <v>57</v>
      </c>
      <c r="BD218" s="25">
        <v>42.283333333333331</v>
      </c>
    </row>
    <row r="219" spans="52:56" x14ac:dyDescent="0.25">
      <c r="AZ219" s="25">
        <v>216</v>
      </c>
      <c r="BA219" s="25">
        <v>0.17185890555134051</v>
      </c>
      <c r="BB219" s="25">
        <v>0</v>
      </c>
      <c r="BC219" s="25">
        <v>57</v>
      </c>
      <c r="BD219" s="25">
        <v>42.48</v>
      </c>
    </row>
    <row r="220" spans="52:56" x14ac:dyDescent="0.25">
      <c r="AZ220" s="25">
        <v>217</v>
      </c>
      <c r="BA220" s="25">
        <v>0.17151358362344252</v>
      </c>
      <c r="BB220" s="25">
        <v>0</v>
      </c>
      <c r="BC220" s="25">
        <v>57</v>
      </c>
      <c r="BD220" s="25">
        <v>42.676666666666662</v>
      </c>
    </row>
    <row r="221" spans="52:56" x14ac:dyDescent="0.25">
      <c r="AZ221" s="25">
        <v>218</v>
      </c>
      <c r="BA221" s="25">
        <v>0.1700723416128419</v>
      </c>
      <c r="BB221" s="25">
        <v>0</v>
      </c>
      <c r="BC221" s="25">
        <v>57</v>
      </c>
      <c r="BD221" s="25">
        <v>42.873333333333328</v>
      </c>
    </row>
    <row r="222" spans="52:56" x14ac:dyDescent="0.25">
      <c r="AZ222" s="25">
        <v>219</v>
      </c>
      <c r="BA222" s="25">
        <v>0.1700723416128419</v>
      </c>
      <c r="BB222" s="25">
        <v>0</v>
      </c>
      <c r="BC222" s="25">
        <v>57</v>
      </c>
      <c r="BD222" s="25">
        <v>43.07</v>
      </c>
    </row>
    <row r="223" spans="52:56" x14ac:dyDescent="0.25">
      <c r="AZ223" s="25">
        <v>220</v>
      </c>
      <c r="BA223" s="25">
        <v>0.1700723416128419</v>
      </c>
      <c r="BB223" s="25">
        <v>0</v>
      </c>
      <c r="BC223" s="25">
        <v>57</v>
      </c>
      <c r="BD223" s="25">
        <v>43.266666666666666</v>
      </c>
    </row>
    <row r="224" spans="52:56" x14ac:dyDescent="0.25">
      <c r="AZ224" s="25">
        <v>221</v>
      </c>
      <c r="BA224" s="25">
        <v>0.1700723416128419</v>
      </c>
      <c r="BB224" s="25">
        <v>0</v>
      </c>
      <c r="BC224" s="25">
        <v>57</v>
      </c>
      <c r="BD224" s="25">
        <v>43.463333333333331</v>
      </c>
    </row>
    <row r="225" spans="52:56" x14ac:dyDescent="0.25">
      <c r="AZ225" s="25">
        <v>222</v>
      </c>
      <c r="BA225" s="25">
        <v>0.16830057556214764</v>
      </c>
      <c r="BB225" s="25">
        <v>0</v>
      </c>
      <c r="BC225" s="25">
        <v>57</v>
      </c>
      <c r="BD225" s="25">
        <v>43.66</v>
      </c>
    </row>
    <row r="226" spans="52:56" x14ac:dyDescent="0.25">
      <c r="AZ226" s="25">
        <v>223</v>
      </c>
      <c r="BA226" s="25">
        <v>0.16830057556214764</v>
      </c>
      <c r="BB226" s="25">
        <v>0</v>
      </c>
      <c r="BC226" s="25">
        <v>57</v>
      </c>
      <c r="BD226" s="25">
        <v>43.856666666666662</v>
      </c>
    </row>
    <row r="227" spans="52:56" x14ac:dyDescent="0.25">
      <c r="AZ227" s="25">
        <v>224</v>
      </c>
      <c r="BA227" s="25">
        <v>0.16830057556214764</v>
      </c>
      <c r="BB227" s="25">
        <v>0</v>
      </c>
      <c r="BC227" s="25">
        <v>57</v>
      </c>
      <c r="BD227" s="25">
        <v>44.053333333333327</v>
      </c>
    </row>
    <row r="228" spans="52:56" x14ac:dyDescent="0.25">
      <c r="AZ228" s="25">
        <v>225</v>
      </c>
      <c r="BA228" s="25">
        <v>0.16830057556214764</v>
      </c>
      <c r="BB228" s="25">
        <v>0</v>
      </c>
      <c r="BC228" s="25">
        <v>57</v>
      </c>
      <c r="BD228" s="25">
        <v>44.25</v>
      </c>
    </row>
    <row r="229" spans="52:56" x14ac:dyDescent="0.25">
      <c r="AZ229" s="25">
        <v>226</v>
      </c>
      <c r="BA229" s="25">
        <v>0.16830057556214764</v>
      </c>
      <c r="BB229" s="25">
        <v>0</v>
      </c>
      <c r="BC229" s="25">
        <v>57</v>
      </c>
      <c r="BD229" s="25">
        <v>44.446666666666665</v>
      </c>
    </row>
    <row r="230" spans="52:56" x14ac:dyDescent="0.25">
      <c r="AZ230" s="25">
        <v>227</v>
      </c>
      <c r="BA230" s="25">
        <v>0.16830057556214764</v>
      </c>
      <c r="BB230" s="25">
        <v>0</v>
      </c>
      <c r="BC230" s="25">
        <v>57</v>
      </c>
      <c r="BD230" s="25">
        <v>44.643333333333331</v>
      </c>
    </row>
    <row r="231" spans="52:56" x14ac:dyDescent="0.25">
      <c r="AZ231" s="25">
        <v>228</v>
      </c>
      <c r="BA231" s="25">
        <v>0.16654356331094525</v>
      </c>
      <c r="BB231" s="25">
        <v>0</v>
      </c>
      <c r="BC231" s="25">
        <v>57</v>
      </c>
      <c r="BD231" s="25">
        <v>44.839999999999996</v>
      </c>
    </row>
    <row r="232" spans="52:56" x14ac:dyDescent="0.25">
      <c r="AZ232" s="25">
        <v>229</v>
      </c>
      <c r="BA232" s="25">
        <v>0.165335205654428</v>
      </c>
      <c r="BB232" s="25">
        <v>0</v>
      </c>
      <c r="BC232" s="25">
        <v>57</v>
      </c>
      <c r="BD232" s="25">
        <v>45.036666666666662</v>
      </c>
    </row>
    <row r="233" spans="52:56" x14ac:dyDescent="0.25">
      <c r="AZ233" s="25">
        <v>230</v>
      </c>
      <c r="BA233" s="25">
        <v>0.165335205654428</v>
      </c>
      <c r="BB233" s="25">
        <v>0</v>
      </c>
      <c r="BC233" s="25">
        <v>57</v>
      </c>
      <c r="BD233" s="25">
        <v>45.233333333333334</v>
      </c>
    </row>
    <row r="234" spans="52:56" x14ac:dyDescent="0.25">
      <c r="AZ234" s="25">
        <v>231</v>
      </c>
      <c r="BA234" s="25">
        <v>0.16446730206389745</v>
      </c>
      <c r="BB234" s="25">
        <v>1</v>
      </c>
      <c r="BC234" s="25">
        <v>58</v>
      </c>
      <c r="BD234" s="25">
        <v>45.43</v>
      </c>
    </row>
    <row r="235" spans="52:56" x14ac:dyDescent="0.25">
      <c r="AZ235" s="25">
        <v>232</v>
      </c>
      <c r="BA235" s="25">
        <v>0.16393560795311171</v>
      </c>
      <c r="BB235" s="25">
        <v>0</v>
      </c>
      <c r="BC235" s="25">
        <v>58</v>
      </c>
      <c r="BD235" s="25">
        <v>45.626666666666665</v>
      </c>
    </row>
    <row r="236" spans="52:56" x14ac:dyDescent="0.25">
      <c r="AZ236" s="25">
        <v>233</v>
      </c>
      <c r="BA236" s="25">
        <v>0.16393560795311171</v>
      </c>
      <c r="BB236" s="25">
        <v>0</v>
      </c>
      <c r="BC236" s="25">
        <v>58</v>
      </c>
      <c r="BD236" s="25">
        <v>45.823333333333331</v>
      </c>
    </row>
    <row r="237" spans="52:56" x14ac:dyDescent="0.25">
      <c r="AZ237" s="25">
        <v>234</v>
      </c>
      <c r="BA237" s="25">
        <v>0.16221527695055615</v>
      </c>
      <c r="BB237" s="25">
        <v>0</v>
      </c>
      <c r="BC237" s="25">
        <v>58</v>
      </c>
      <c r="BD237" s="25">
        <v>46.019999999999996</v>
      </c>
    </row>
    <row r="238" spans="52:56" x14ac:dyDescent="0.25">
      <c r="AZ238" s="25">
        <v>235</v>
      </c>
      <c r="BA238" s="25">
        <v>0.16050953313770874</v>
      </c>
      <c r="BB238" s="25">
        <v>0</v>
      </c>
      <c r="BC238" s="25">
        <v>58</v>
      </c>
      <c r="BD238" s="25">
        <v>46.216666666666661</v>
      </c>
    </row>
    <row r="239" spans="52:56" x14ac:dyDescent="0.25">
      <c r="AZ239" s="25">
        <v>236</v>
      </c>
      <c r="BA239" s="25">
        <v>0.16018260490986305</v>
      </c>
      <c r="BB239" s="25">
        <v>0</v>
      </c>
      <c r="BC239" s="25">
        <v>58</v>
      </c>
      <c r="BD239" s="25">
        <v>46.413333333333334</v>
      </c>
    </row>
    <row r="240" spans="52:56" x14ac:dyDescent="0.25">
      <c r="AZ240" s="25">
        <v>237</v>
      </c>
      <c r="BA240" s="25">
        <v>0.15966211555772869</v>
      </c>
      <c r="BB240" s="25">
        <v>0</v>
      </c>
      <c r="BC240" s="25">
        <v>58</v>
      </c>
      <c r="BD240" s="25">
        <v>46.61</v>
      </c>
    </row>
    <row r="241" spans="52:56" x14ac:dyDescent="0.25">
      <c r="AZ241" s="25">
        <v>238</v>
      </c>
      <c r="BA241" s="25">
        <v>0.15933658575903892</v>
      </c>
      <c r="BB241" s="25">
        <v>0</v>
      </c>
      <c r="BC241" s="25">
        <v>58</v>
      </c>
      <c r="BD241" s="25">
        <v>46.806666666666665</v>
      </c>
    </row>
    <row r="242" spans="52:56" x14ac:dyDescent="0.25">
      <c r="AZ242" s="25">
        <v>239</v>
      </c>
      <c r="BA242" s="25">
        <v>0.15881832555203282</v>
      </c>
      <c r="BB242" s="25">
        <v>1</v>
      </c>
      <c r="BC242" s="25">
        <v>59</v>
      </c>
      <c r="BD242" s="25">
        <v>47.00333333333333</v>
      </c>
    </row>
    <row r="243" spans="52:56" x14ac:dyDescent="0.25">
      <c r="AZ243" s="25">
        <v>240</v>
      </c>
      <c r="BA243" s="25">
        <v>0.15881832555203282</v>
      </c>
      <c r="BB243" s="25">
        <v>0</v>
      </c>
      <c r="BC243" s="25">
        <v>59</v>
      </c>
      <c r="BD243" s="25">
        <v>47.199999999999996</v>
      </c>
    </row>
    <row r="244" spans="52:56" x14ac:dyDescent="0.25">
      <c r="AZ244" s="24">
        <v>241</v>
      </c>
      <c r="BA244" s="24">
        <v>0.15881832555203282</v>
      </c>
      <c r="BB244" s="24">
        <v>0</v>
      </c>
      <c r="BC244" s="24">
        <v>59</v>
      </c>
      <c r="BD244" s="24">
        <v>47.396666666666661</v>
      </c>
    </row>
    <row r="245" spans="52:56" x14ac:dyDescent="0.25">
      <c r="AZ245" s="24">
        <v>242</v>
      </c>
      <c r="BA245" s="24">
        <v>0.15881832555203282</v>
      </c>
      <c r="BB245" s="24">
        <v>0</v>
      </c>
      <c r="BC245" s="24">
        <v>59</v>
      </c>
      <c r="BD245" s="24">
        <v>47.593333333333334</v>
      </c>
    </row>
    <row r="246" spans="52:56" x14ac:dyDescent="0.25">
      <c r="AZ246" s="24">
        <v>243</v>
      </c>
      <c r="BA246" s="24">
        <v>0.15797815652794542</v>
      </c>
      <c r="BB246" s="24">
        <v>0</v>
      </c>
      <c r="BC246" s="24">
        <v>59</v>
      </c>
      <c r="BD246" s="24">
        <v>47.79</v>
      </c>
    </row>
    <row r="247" spans="52:56" x14ac:dyDescent="0.25">
      <c r="AZ247" s="24">
        <v>244</v>
      </c>
      <c r="BA247" s="24">
        <v>0.15714160180604103</v>
      </c>
      <c r="BB247" s="24">
        <v>0</v>
      </c>
      <c r="BC247" s="24">
        <v>59</v>
      </c>
      <c r="BD247" s="24">
        <v>47.986666666666665</v>
      </c>
    </row>
    <row r="248" spans="52:56" x14ac:dyDescent="0.25">
      <c r="AZ248" s="24">
        <v>245</v>
      </c>
      <c r="BA248" s="24">
        <v>0.15714160180604103</v>
      </c>
      <c r="BB248" s="24">
        <v>0</v>
      </c>
      <c r="BC248" s="24">
        <v>59</v>
      </c>
      <c r="BD248" s="24">
        <v>48.18333333333333</v>
      </c>
    </row>
    <row r="249" spans="52:56" x14ac:dyDescent="0.25">
      <c r="AZ249" s="24">
        <v>246</v>
      </c>
      <c r="BA249" s="24">
        <v>0.15547930812421823</v>
      </c>
      <c r="BB249" s="24">
        <v>0</v>
      </c>
      <c r="BC249" s="24">
        <v>59</v>
      </c>
      <c r="BD249" s="24">
        <v>48.379999999999995</v>
      </c>
    </row>
    <row r="250" spans="52:56" x14ac:dyDescent="0.25">
      <c r="AZ250" s="24">
        <v>247</v>
      </c>
      <c r="BA250" s="24">
        <v>0.15433636187502889</v>
      </c>
      <c r="BB250" s="24">
        <v>0</v>
      </c>
      <c r="BC250" s="24">
        <v>59</v>
      </c>
      <c r="BD250" s="24">
        <v>48.576666666666661</v>
      </c>
    </row>
    <row r="251" spans="52:56" x14ac:dyDescent="0.25">
      <c r="AZ251" s="24">
        <v>248</v>
      </c>
      <c r="BA251" s="24">
        <v>0.15383138937972815</v>
      </c>
      <c r="BB251" s="24">
        <v>0</v>
      </c>
      <c r="BC251" s="24">
        <v>59</v>
      </c>
      <c r="BD251" s="24">
        <v>48.773333333333333</v>
      </c>
    </row>
    <row r="252" spans="52:56" x14ac:dyDescent="0.25">
      <c r="AZ252" s="24">
        <v>249</v>
      </c>
      <c r="BA252" s="24">
        <v>0.15301280302132639</v>
      </c>
      <c r="BB252" s="24">
        <v>0</v>
      </c>
      <c r="BC252" s="24">
        <v>59</v>
      </c>
      <c r="BD252" s="24">
        <v>48.97</v>
      </c>
    </row>
    <row r="253" spans="52:56" x14ac:dyDescent="0.25">
      <c r="AZ253" s="24">
        <v>250</v>
      </c>
      <c r="BA253" s="24">
        <v>0.15269836682258756</v>
      </c>
      <c r="BB253" s="24">
        <v>0</v>
      </c>
      <c r="BC253" s="24">
        <v>59</v>
      </c>
      <c r="BD253" s="24">
        <v>49.166666666666664</v>
      </c>
    </row>
    <row r="254" spans="52:56" x14ac:dyDescent="0.25">
      <c r="AZ254" s="24">
        <v>251</v>
      </c>
      <c r="BA254" s="24">
        <v>0.15219778913089038</v>
      </c>
      <c r="BB254" s="24">
        <v>0</v>
      </c>
      <c r="BC254" s="24">
        <v>59</v>
      </c>
      <c r="BD254" s="24">
        <v>49.36333333333333</v>
      </c>
    </row>
    <row r="255" spans="52:56" x14ac:dyDescent="0.25">
      <c r="AZ255" s="24">
        <v>252</v>
      </c>
      <c r="BA255" s="24">
        <v>0.1505784496574139</v>
      </c>
      <c r="BB255" s="24">
        <v>0</v>
      </c>
      <c r="BC255" s="24">
        <v>59</v>
      </c>
      <c r="BD255" s="24">
        <v>49.559999999999995</v>
      </c>
    </row>
    <row r="256" spans="52:56" x14ac:dyDescent="0.25">
      <c r="AZ256" s="24">
        <v>253</v>
      </c>
      <c r="BA256" s="24">
        <v>0.1505784496574139</v>
      </c>
      <c r="BB256" s="24">
        <v>0</v>
      </c>
      <c r="BC256" s="24">
        <v>59</v>
      </c>
      <c r="BD256" s="24">
        <v>49.756666666666661</v>
      </c>
    </row>
    <row r="257" spans="52:56" x14ac:dyDescent="0.25">
      <c r="AZ257" s="24">
        <v>254</v>
      </c>
      <c r="BA257" s="24">
        <v>0.1486657197971086</v>
      </c>
      <c r="BB257" s="24">
        <v>0</v>
      </c>
      <c r="BC257" s="24">
        <v>59</v>
      </c>
      <c r="BD257" s="24">
        <v>49.953333333333333</v>
      </c>
    </row>
    <row r="258" spans="52:56" x14ac:dyDescent="0.25">
      <c r="AZ258" s="24">
        <v>255</v>
      </c>
      <c r="BA258" s="24">
        <v>0.14817605008861315</v>
      </c>
      <c r="BB258" s="24">
        <v>0</v>
      </c>
      <c r="BC258" s="24">
        <v>59</v>
      </c>
      <c r="BD258" s="24">
        <v>50.15</v>
      </c>
    </row>
    <row r="259" spans="52:56" x14ac:dyDescent="0.25">
      <c r="AZ259" s="24">
        <v>256</v>
      </c>
      <c r="BA259" s="24">
        <v>0.14786981800833485</v>
      </c>
      <c r="BB259" s="24">
        <v>0</v>
      </c>
      <c r="BC259" s="24">
        <v>59</v>
      </c>
      <c r="BD259" s="24">
        <v>50.346666666666664</v>
      </c>
    </row>
    <row r="260" spans="52:56" x14ac:dyDescent="0.25">
      <c r="AZ260" s="24">
        <v>257</v>
      </c>
      <c r="BA260" s="24">
        <v>0.14738231597791762</v>
      </c>
      <c r="BB260" s="24">
        <v>0</v>
      </c>
      <c r="BC260" s="24">
        <v>59</v>
      </c>
      <c r="BD260" s="24">
        <v>50.543333333333329</v>
      </c>
    </row>
    <row r="261" spans="52:56" x14ac:dyDescent="0.25">
      <c r="AZ261" s="24">
        <v>258</v>
      </c>
      <c r="BA261" s="24">
        <v>0.14738231597791762</v>
      </c>
      <c r="BB261" s="24">
        <v>0</v>
      </c>
      <c r="BC261" s="24">
        <v>59</v>
      </c>
      <c r="BD261" s="24">
        <v>50.739999999999995</v>
      </c>
    </row>
    <row r="262" spans="52:56" x14ac:dyDescent="0.25">
      <c r="AZ262" s="24">
        <v>259</v>
      </c>
      <c r="BA262" s="24">
        <v>0.14659210196028538</v>
      </c>
      <c r="BB262" s="24">
        <v>0</v>
      </c>
      <c r="BC262" s="24">
        <v>59</v>
      </c>
      <c r="BD262" s="24">
        <v>50.936666666666667</v>
      </c>
    </row>
    <row r="263" spans="52:56" x14ac:dyDescent="0.25">
      <c r="AZ263" s="24">
        <v>260</v>
      </c>
      <c r="BA263" s="24">
        <v>0.14580540026069436</v>
      </c>
      <c r="BB263" s="24">
        <v>0</v>
      </c>
      <c r="BC263" s="24">
        <v>59</v>
      </c>
      <c r="BD263" s="24">
        <v>51.133333333333333</v>
      </c>
    </row>
    <row r="264" spans="52:56" x14ac:dyDescent="0.25">
      <c r="AZ264" s="24">
        <v>261</v>
      </c>
      <c r="BA264" s="24">
        <v>0.14550323066923684</v>
      </c>
      <c r="BB264" s="24">
        <v>0</v>
      </c>
      <c r="BC264" s="24">
        <v>59</v>
      </c>
      <c r="BD264" s="24">
        <v>51.33</v>
      </c>
    </row>
    <row r="265" spans="52:56" x14ac:dyDescent="0.25">
      <c r="AZ265" s="24">
        <v>262</v>
      </c>
      <c r="BA265" s="24">
        <v>0.14502220303419278</v>
      </c>
      <c r="BB265" s="24">
        <v>0</v>
      </c>
      <c r="BC265" s="24">
        <v>59</v>
      </c>
      <c r="BD265" s="24">
        <v>51.526666666666664</v>
      </c>
    </row>
    <row r="266" spans="52:56" x14ac:dyDescent="0.25">
      <c r="AZ266" s="24">
        <v>263</v>
      </c>
      <c r="BA266" s="24">
        <v>0.14502220303419278</v>
      </c>
      <c r="BB266" s="24">
        <v>0</v>
      </c>
      <c r="BC266" s="24">
        <v>59</v>
      </c>
      <c r="BD266" s="24">
        <v>51.723333333333329</v>
      </c>
    </row>
    <row r="267" spans="52:56" x14ac:dyDescent="0.25">
      <c r="AZ267" s="24">
        <v>264</v>
      </c>
      <c r="BA267" s="24">
        <v>0.14424250236698524</v>
      </c>
      <c r="BB267" s="24">
        <v>0</v>
      </c>
      <c r="BC267" s="24">
        <v>59</v>
      </c>
      <c r="BD267" s="24">
        <v>51.919999999999995</v>
      </c>
    </row>
    <row r="268" spans="52:56" x14ac:dyDescent="0.25">
      <c r="AZ268" s="24">
        <v>265</v>
      </c>
      <c r="BA268" s="24">
        <v>0.14424250236698524</v>
      </c>
      <c r="BB268" s="24">
        <v>0</v>
      </c>
      <c r="BC268" s="24">
        <v>59</v>
      </c>
      <c r="BD268" s="24">
        <v>52.116666666666667</v>
      </c>
    </row>
    <row r="269" spans="52:56" x14ac:dyDescent="0.25">
      <c r="AZ269" s="24">
        <v>266</v>
      </c>
      <c r="BA269" s="24">
        <v>0.14346629027751395</v>
      </c>
      <c r="BB269" s="24">
        <v>0</v>
      </c>
      <c r="BC269" s="24">
        <v>59</v>
      </c>
      <c r="BD269" s="24">
        <v>52.313333333333333</v>
      </c>
    </row>
    <row r="270" spans="52:56" x14ac:dyDescent="0.25">
      <c r="AZ270" s="24">
        <v>267</v>
      </c>
      <c r="BA270" s="24">
        <v>0.14346629027751395</v>
      </c>
      <c r="BB270" s="24">
        <v>0</v>
      </c>
      <c r="BC270" s="24">
        <v>59</v>
      </c>
      <c r="BD270" s="24">
        <v>52.51</v>
      </c>
    </row>
    <row r="271" spans="52:56" x14ac:dyDescent="0.25">
      <c r="AZ271" s="24">
        <v>268</v>
      </c>
      <c r="BA271" s="24">
        <v>0.14346629027751395</v>
      </c>
      <c r="BB271" s="24">
        <v>0</v>
      </c>
      <c r="BC271" s="24">
        <v>59</v>
      </c>
      <c r="BD271" s="24">
        <v>52.706666666666663</v>
      </c>
    </row>
    <row r="272" spans="52:56" x14ac:dyDescent="0.25">
      <c r="AZ272" s="24">
        <v>269</v>
      </c>
      <c r="BA272" s="24">
        <v>0.14346629027751395</v>
      </c>
      <c r="BB272" s="24">
        <v>0</v>
      </c>
      <c r="BC272" s="24">
        <v>59</v>
      </c>
      <c r="BD272" s="24">
        <v>52.903333333333329</v>
      </c>
    </row>
    <row r="273" spans="52:56" x14ac:dyDescent="0.25">
      <c r="AZ273" s="24">
        <v>270</v>
      </c>
      <c r="BA273" s="24">
        <v>0.14115850466606586</v>
      </c>
      <c r="BB273" s="24">
        <v>0</v>
      </c>
      <c r="BC273" s="24">
        <v>59</v>
      </c>
      <c r="BD273" s="24">
        <v>53.099999999999994</v>
      </c>
    </row>
    <row r="274" spans="52:56" x14ac:dyDescent="0.25">
      <c r="AZ274" s="25">
        <v>271</v>
      </c>
      <c r="BA274" s="25">
        <v>0.14115850466606586</v>
      </c>
      <c r="BB274" s="25">
        <v>0</v>
      </c>
      <c r="BC274" s="25">
        <v>59</v>
      </c>
      <c r="BD274" s="25">
        <v>53.296666666666667</v>
      </c>
    </row>
    <row r="275" spans="52:56" x14ac:dyDescent="0.25">
      <c r="AZ275" s="25">
        <v>272</v>
      </c>
      <c r="BA275" s="25">
        <v>0.14039616575427025</v>
      </c>
      <c r="BB275" s="25">
        <v>0</v>
      </c>
      <c r="BC275" s="25">
        <v>59</v>
      </c>
      <c r="BD275" s="25">
        <v>53.493333333333332</v>
      </c>
    </row>
    <row r="276" spans="52:56" x14ac:dyDescent="0.25">
      <c r="AZ276" s="25">
        <v>273</v>
      </c>
      <c r="BA276" s="25">
        <v>0.14039616575427025</v>
      </c>
      <c r="BB276" s="25">
        <v>0</v>
      </c>
      <c r="BC276" s="25">
        <v>59</v>
      </c>
      <c r="BD276" s="25">
        <v>53.69</v>
      </c>
    </row>
    <row r="277" spans="52:56" x14ac:dyDescent="0.25">
      <c r="AZ277" s="25">
        <v>274</v>
      </c>
      <c r="BA277" s="25">
        <v>0.139637274533471</v>
      </c>
      <c r="BB277" s="25">
        <v>0</v>
      </c>
      <c r="BC277" s="25">
        <v>59</v>
      </c>
      <c r="BD277" s="25">
        <v>53.886666666666663</v>
      </c>
    </row>
    <row r="278" spans="52:56" x14ac:dyDescent="0.25">
      <c r="AZ278" s="25">
        <v>275</v>
      </c>
      <c r="BA278" s="25">
        <v>0.13888182263795479</v>
      </c>
      <c r="BB278" s="25">
        <v>0</v>
      </c>
      <c r="BC278" s="25">
        <v>59</v>
      </c>
      <c r="BD278" s="25">
        <v>54.083333333333329</v>
      </c>
    </row>
    <row r="279" spans="52:56" x14ac:dyDescent="0.25">
      <c r="AZ279" s="25">
        <v>276</v>
      </c>
      <c r="BA279" s="25">
        <v>0.13888182263795479</v>
      </c>
      <c r="BB279" s="25">
        <v>0</v>
      </c>
      <c r="BC279" s="25">
        <v>59</v>
      </c>
      <c r="BD279" s="25">
        <v>54.279999999999994</v>
      </c>
    </row>
    <row r="280" spans="52:56" x14ac:dyDescent="0.25">
      <c r="AZ280" s="25">
        <v>277</v>
      </c>
      <c r="BA280" s="25">
        <v>0.13784097217975702</v>
      </c>
      <c r="BB280" s="25">
        <v>0</v>
      </c>
      <c r="BC280" s="25">
        <v>59</v>
      </c>
      <c r="BD280" s="25">
        <v>54.476666666666667</v>
      </c>
    </row>
    <row r="281" spans="52:56" x14ac:dyDescent="0.25">
      <c r="AZ281" s="25">
        <v>278</v>
      </c>
      <c r="BA281" s="25">
        <v>0.13738120305926424</v>
      </c>
      <c r="BB281" s="25">
        <v>0</v>
      </c>
      <c r="BC281" s="25">
        <v>59</v>
      </c>
      <c r="BD281" s="25">
        <v>54.673333333333332</v>
      </c>
    </row>
    <row r="282" spans="52:56" x14ac:dyDescent="0.25">
      <c r="AZ282" s="25">
        <v>279</v>
      </c>
      <c r="BA282" s="25">
        <v>0.13709368992907509</v>
      </c>
      <c r="BB282" s="25">
        <v>0</v>
      </c>
      <c r="BC282" s="25">
        <v>59</v>
      </c>
      <c r="BD282" s="25">
        <v>54.87</v>
      </c>
    </row>
    <row r="283" spans="52:56" x14ac:dyDescent="0.25">
      <c r="AZ283" s="25">
        <v>280</v>
      </c>
      <c r="BA283" s="25">
        <v>0.13413858005385473</v>
      </c>
      <c r="BB283" s="25">
        <v>0</v>
      </c>
      <c r="BC283" s="25">
        <v>59</v>
      </c>
      <c r="BD283" s="25">
        <v>55.066666666666663</v>
      </c>
    </row>
    <row r="284" spans="52:56" x14ac:dyDescent="0.25">
      <c r="AZ284" s="25">
        <v>281</v>
      </c>
      <c r="BA284" s="25">
        <v>0.13268131452733273</v>
      </c>
      <c r="BB284" s="25">
        <v>0</v>
      </c>
      <c r="BC284" s="25">
        <v>59</v>
      </c>
      <c r="BD284" s="25">
        <v>55.263333333333328</v>
      </c>
    </row>
    <row r="285" spans="52:56" x14ac:dyDescent="0.25">
      <c r="AZ285" s="25">
        <v>282</v>
      </c>
      <c r="BA285" s="25">
        <v>0.12980700770762402</v>
      </c>
      <c r="BB285" s="25">
        <v>0</v>
      </c>
      <c r="BC285" s="25">
        <v>59</v>
      </c>
      <c r="BD285" s="25">
        <v>55.459999999999994</v>
      </c>
    </row>
    <row r="286" spans="52:56" x14ac:dyDescent="0.25">
      <c r="AZ286" s="25">
        <v>283</v>
      </c>
      <c r="BA286" s="25">
        <v>0.12628879786244532</v>
      </c>
      <c r="BB286" s="25">
        <v>0</v>
      </c>
      <c r="BC286" s="25">
        <v>59</v>
      </c>
      <c r="BD286" s="25">
        <v>55.656666666666666</v>
      </c>
    </row>
    <row r="287" spans="52:56" x14ac:dyDescent="0.25">
      <c r="AZ287" s="25">
        <v>284</v>
      </c>
      <c r="BA287" s="25">
        <v>0.12628879786244532</v>
      </c>
      <c r="BB287" s="25">
        <v>0</v>
      </c>
      <c r="BC287" s="25">
        <v>59</v>
      </c>
      <c r="BD287" s="25">
        <v>55.853333333333332</v>
      </c>
    </row>
    <row r="288" spans="52:56" x14ac:dyDescent="0.25">
      <c r="AZ288" s="25">
        <v>285</v>
      </c>
      <c r="BA288" s="25">
        <v>0.12628879786244532</v>
      </c>
      <c r="BB288" s="25">
        <v>0</v>
      </c>
      <c r="BC288" s="25">
        <v>59</v>
      </c>
      <c r="BD288" s="25">
        <v>56.05</v>
      </c>
    </row>
    <row r="289" spans="52:56" x14ac:dyDescent="0.25">
      <c r="AZ289" s="25">
        <v>286</v>
      </c>
      <c r="BA289" s="25">
        <v>0.125595020466097</v>
      </c>
      <c r="BB289" s="25">
        <v>0</v>
      </c>
      <c r="BC289" s="25">
        <v>59</v>
      </c>
      <c r="BD289" s="25">
        <v>56.246666666666663</v>
      </c>
    </row>
    <row r="290" spans="52:56" x14ac:dyDescent="0.25">
      <c r="AZ290" s="25">
        <v>287</v>
      </c>
      <c r="BA290" s="25">
        <v>0.12421725565443605</v>
      </c>
      <c r="BB290" s="25">
        <v>0</v>
      </c>
      <c r="BC290" s="25">
        <v>59</v>
      </c>
      <c r="BD290" s="25">
        <v>56.443333333333328</v>
      </c>
    </row>
    <row r="291" spans="52:56" x14ac:dyDescent="0.25">
      <c r="AZ291" s="25">
        <v>288</v>
      </c>
      <c r="BA291" s="25">
        <v>0.12421725565443605</v>
      </c>
      <c r="BB291" s="25">
        <v>0</v>
      </c>
      <c r="BC291" s="25">
        <v>59</v>
      </c>
      <c r="BD291" s="25">
        <v>56.64</v>
      </c>
    </row>
    <row r="292" spans="52:56" x14ac:dyDescent="0.25">
      <c r="AZ292" s="25">
        <v>289</v>
      </c>
      <c r="BA292" s="25">
        <v>0.12285248130058632</v>
      </c>
      <c r="BB292" s="25">
        <v>0</v>
      </c>
      <c r="BC292" s="25">
        <v>59</v>
      </c>
      <c r="BD292" s="25">
        <v>56.836666666666666</v>
      </c>
    </row>
    <row r="293" spans="52:56" x14ac:dyDescent="0.25">
      <c r="AZ293" s="25">
        <v>290</v>
      </c>
      <c r="BA293" s="25">
        <v>0.12150062143513121</v>
      </c>
      <c r="BB293" s="25">
        <v>0</v>
      </c>
      <c r="BC293" s="25">
        <v>59</v>
      </c>
      <c r="BD293" s="25">
        <v>57.033333333333331</v>
      </c>
    </row>
    <row r="294" spans="52:56" x14ac:dyDescent="0.25">
      <c r="AZ294" s="25">
        <v>291</v>
      </c>
      <c r="BA294" s="25">
        <v>0.11883533831269907</v>
      </c>
      <c r="BB294" s="25">
        <v>0</v>
      </c>
      <c r="BC294" s="25">
        <v>59</v>
      </c>
      <c r="BD294" s="25">
        <v>57.23</v>
      </c>
    </row>
    <row r="295" spans="52:56" x14ac:dyDescent="0.25">
      <c r="AZ295" s="25">
        <v>292</v>
      </c>
      <c r="BA295" s="25">
        <v>0.11686970291532475</v>
      </c>
      <c r="BB295" s="25">
        <v>0</v>
      </c>
      <c r="BC295" s="25">
        <v>59</v>
      </c>
      <c r="BD295" s="25">
        <v>57.426666666666662</v>
      </c>
    </row>
    <row r="296" spans="52:56" x14ac:dyDescent="0.25">
      <c r="AZ296" s="25">
        <v>293</v>
      </c>
      <c r="BA296" s="25">
        <v>0.11686970291532475</v>
      </c>
      <c r="BB296" s="25">
        <v>0</v>
      </c>
      <c r="BC296" s="25">
        <v>59</v>
      </c>
      <c r="BD296" s="25">
        <v>57.623333333333328</v>
      </c>
    </row>
    <row r="297" spans="52:56" x14ac:dyDescent="0.25">
      <c r="AZ297" s="25">
        <v>294</v>
      </c>
      <c r="BA297" s="25">
        <v>0.11686970291532475</v>
      </c>
      <c r="BB297" s="25">
        <v>0</v>
      </c>
      <c r="BC297" s="25">
        <v>59</v>
      </c>
      <c r="BD297" s="25">
        <v>57.82</v>
      </c>
    </row>
    <row r="298" spans="52:56" x14ac:dyDescent="0.25">
      <c r="AZ298" s="25">
        <v>295</v>
      </c>
      <c r="BA298" s="25">
        <v>0.11493233998572341</v>
      </c>
      <c r="BB298" s="25">
        <v>0</v>
      </c>
      <c r="BC298" s="25">
        <v>59</v>
      </c>
      <c r="BD298" s="25">
        <v>58.016666666666666</v>
      </c>
    </row>
    <row r="299" spans="52:56" x14ac:dyDescent="0.25">
      <c r="AZ299" s="25">
        <v>296</v>
      </c>
      <c r="BA299" s="25">
        <v>0.11326664100479339</v>
      </c>
      <c r="BB299" s="25">
        <v>0</v>
      </c>
      <c r="BC299" s="25">
        <v>59</v>
      </c>
      <c r="BD299" s="25">
        <v>58.213333333333331</v>
      </c>
    </row>
    <row r="300" spans="52:56" x14ac:dyDescent="0.25">
      <c r="AZ300" s="25">
        <v>297</v>
      </c>
      <c r="BA300" s="25">
        <v>0.11114136226475514</v>
      </c>
      <c r="BB300" s="25">
        <v>0</v>
      </c>
      <c r="BC300" s="25">
        <v>59</v>
      </c>
      <c r="BD300" s="25">
        <v>58.41</v>
      </c>
    </row>
    <row r="301" spans="52:56" x14ac:dyDescent="0.25">
      <c r="AZ301" s="25">
        <v>298</v>
      </c>
      <c r="BA301" s="25">
        <v>0.10928720751202023</v>
      </c>
      <c r="BB301" s="25">
        <v>0</v>
      </c>
      <c r="BC301" s="25">
        <v>59</v>
      </c>
      <c r="BD301" s="25">
        <v>58.606666666666662</v>
      </c>
    </row>
    <row r="302" spans="52:56" x14ac:dyDescent="0.25">
      <c r="AZ302" s="25">
        <v>299</v>
      </c>
      <c r="BA302" s="25">
        <v>0.10867521232278439</v>
      </c>
      <c r="BB302" s="25">
        <v>0</v>
      </c>
      <c r="BC302" s="25">
        <v>59</v>
      </c>
      <c r="BD302" s="25">
        <v>58.803333333333327</v>
      </c>
    </row>
    <row r="303" spans="52:56" x14ac:dyDescent="0.25">
      <c r="AZ303" s="25">
        <v>300</v>
      </c>
      <c r="BA303" s="25">
        <v>0.10447499199941576</v>
      </c>
      <c r="BB303" s="25">
        <v>0</v>
      </c>
      <c r="BC303" s="25">
        <v>59</v>
      </c>
      <c r="BD303" s="25">
        <v>59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'!$B$10:$B$10" display="Inputs"/>
    <hyperlink ref="D4" location="'LR_Output'!$B$43:$B$43" display="Prior Class Prob."/>
    <hyperlink ref="F4" location="'LR_Output'!$B$52:$B$52" display="Predictors"/>
    <hyperlink ref="H4" location="'LR_Output'!$B$63:$B$63" display="Regress. Model"/>
    <hyperlink ref="J4" location="'LR_Output'!$B$71:$B$71" display="Variable Selection"/>
    <hyperlink ref="B5" location="'LR_Output'!$B$82:$B$82" display="Train. Score Summary"/>
    <hyperlink ref="D5" location="'LR_Output'!$B$106:$B$106" display="Valid. Score Summary"/>
    <hyperlink ref="F5" location="'LR_TrainingLiftChart'!$B$10:$B$10" display="Training Lift Chart"/>
    <hyperlink ref="H5" location="'LR_ValidationLiftChart'!$B$10:$B$10" display="Validation Lift Chart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203"/>
  <sheetViews>
    <sheetView showGridLines="0" topLeftCell="A10" workbookViewId="0"/>
  </sheetViews>
  <sheetFormatPr defaultRowHeight="15.75" x14ac:dyDescent="0.25"/>
  <cols>
    <col min="14" max="14" width="11.5" bestFit="1" customWidth="1"/>
    <col min="52" max="52" width="7.125" customWidth="1"/>
    <col min="53" max="53" width="14" bestFit="1" customWidth="1"/>
    <col min="54" max="54" width="11.5" bestFit="1" customWidth="1"/>
    <col min="55" max="55" width="40.5" bestFit="1" customWidth="1"/>
    <col min="56" max="56" width="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ht="18.75" x14ac:dyDescent="0.3">
      <c r="B1" s="5" t="s">
        <v>44</v>
      </c>
      <c r="N1" t="s">
        <v>166</v>
      </c>
      <c r="BZ1" s="10" t="s">
        <v>54</v>
      </c>
      <c r="CA1" s="10" t="s">
        <v>55</v>
      </c>
      <c r="CB1" s="10" t="s">
        <v>56</v>
      </c>
    </row>
    <row r="2" spans="2:80" x14ac:dyDescent="0.25">
      <c r="BZ2">
        <v>0</v>
      </c>
      <c r="CA2">
        <v>0</v>
      </c>
      <c r="CB2">
        <v>0</v>
      </c>
    </row>
    <row r="3" spans="2:8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10" t="s">
        <v>47</v>
      </c>
      <c r="BA3" s="10" t="s">
        <v>48</v>
      </c>
      <c r="BB3" s="10" t="s">
        <v>49</v>
      </c>
      <c r="BC3" s="10" t="s">
        <v>50</v>
      </c>
      <c r="BD3" s="10" t="s">
        <v>51</v>
      </c>
      <c r="BE3" s="10" t="s">
        <v>52</v>
      </c>
      <c r="BF3" s="10" t="s">
        <v>53</v>
      </c>
      <c r="BZ3">
        <v>6.2111801242236021E-3</v>
      </c>
      <c r="CA3">
        <v>0</v>
      </c>
      <c r="CB3">
        <v>6.2111801242236021E-3</v>
      </c>
    </row>
    <row r="4" spans="2:8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66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24">
        <v>1</v>
      </c>
      <c r="BA4" s="24">
        <v>0.28943168192732205</v>
      </c>
      <c r="BB4" s="24">
        <v>0</v>
      </c>
      <c r="BC4" s="24">
        <v>0</v>
      </c>
      <c r="BD4" s="24">
        <v>0.19500000000000001</v>
      </c>
      <c r="BE4">
        <v>1</v>
      </c>
      <c r="BF4">
        <v>1.0256410256410255</v>
      </c>
      <c r="BZ4">
        <v>1.2422360248447204E-2</v>
      </c>
      <c r="CA4">
        <v>0</v>
      </c>
      <c r="CB4">
        <v>1.2422360248447204E-2</v>
      </c>
    </row>
    <row r="5" spans="2:80" x14ac:dyDescent="0.25">
      <c r="B5" s="23" t="s">
        <v>67</v>
      </c>
      <c r="C5" s="19"/>
      <c r="D5" s="23" t="s">
        <v>68</v>
      </c>
      <c r="E5" s="19"/>
      <c r="F5" s="23" t="s">
        <v>69</v>
      </c>
      <c r="G5" s="19"/>
      <c r="H5" s="23" t="s">
        <v>70</v>
      </c>
      <c r="I5" s="19"/>
      <c r="J5" s="17"/>
      <c r="K5" s="19"/>
      <c r="N5" s="7">
        <v>0</v>
      </c>
      <c r="O5" s="7">
        <v>0</v>
      </c>
      <c r="P5" s="7">
        <v>0</v>
      </c>
      <c r="Q5" s="7">
        <v>0</v>
      </c>
      <c r="AZ5" s="24">
        <v>2</v>
      </c>
      <c r="BA5" s="24">
        <v>0.28684623557319117</v>
      </c>
      <c r="BB5" s="24">
        <v>0</v>
      </c>
      <c r="BC5" s="24">
        <v>0</v>
      </c>
      <c r="BD5" s="24">
        <v>0.39</v>
      </c>
      <c r="BE5">
        <v>2</v>
      </c>
      <c r="BF5">
        <v>0.76923076923076916</v>
      </c>
      <c r="BZ5">
        <v>1.8633540372670808E-2</v>
      </c>
      <c r="CA5">
        <v>0</v>
      </c>
      <c r="CB5">
        <v>1.8633540372670808E-2</v>
      </c>
    </row>
    <row r="6" spans="2:80" x14ac:dyDescent="0.25">
      <c r="AZ6" s="24">
        <v>3</v>
      </c>
      <c r="BA6" s="24">
        <v>0.28427464490531945</v>
      </c>
      <c r="BB6" s="24">
        <v>0</v>
      </c>
      <c r="BC6" s="24">
        <v>0</v>
      </c>
      <c r="BD6" s="24">
        <v>0.58499999999999996</v>
      </c>
      <c r="BE6">
        <v>3</v>
      </c>
      <c r="BF6">
        <v>1.5384615384615383</v>
      </c>
      <c r="BZ6">
        <v>3.1055900621118012E-2</v>
      </c>
      <c r="CA6">
        <v>0</v>
      </c>
      <c r="CB6">
        <v>3.1055900621118012E-2</v>
      </c>
    </row>
    <row r="7" spans="2:80" x14ac:dyDescent="0.25">
      <c r="AZ7" s="24">
        <v>4</v>
      </c>
      <c r="BA7" s="24">
        <v>0.28044343773102215</v>
      </c>
      <c r="BB7" s="24">
        <v>0</v>
      </c>
      <c r="BC7" s="24">
        <v>0</v>
      </c>
      <c r="BD7" s="24">
        <v>0.78</v>
      </c>
      <c r="BE7">
        <v>4</v>
      </c>
      <c r="BF7">
        <v>1.0256410256410255</v>
      </c>
      <c r="BZ7">
        <v>3.7267080745341616E-2</v>
      </c>
      <c r="CA7">
        <v>0</v>
      </c>
      <c r="CB7">
        <v>3.7267080745341616E-2</v>
      </c>
    </row>
    <row r="8" spans="2:80" x14ac:dyDescent="0.25">
      <c r="AZ8" s="24">
        <v>5</v>
      </c>
      <c r="BA8" s="24">
        <v>0.28044343773102215</v>
      </c>
      <c r="BB8" s="24">
        <v>0</v>
      </c>
      <c r="BC8" s="24">
        <v>0</v>
      </c>
      <c r="BD8" s="24">
        <v>0.97500000000000009</v>
      </c>
      <c r="BE8">
        <v>5</v>
      </c>
      <c r="BF8">
        <v>2.3076923076923075</v>
      </c>
      <c r="BZ8">
        <v>4.3478260869565216E-2</v>
      </c>
      <c r="CA8">
        <v>0</v>
      </c>
      <c r="CB8">
        <v>4.3478260869565216E-2</v>
      </c>
    </row>
    <row r="9" spans="2:80" x14ac:dyDescent="0.25">
      <c r="AZ9" s="24">
        <v>6</v>
      </c>
      <c r="BA9" s="24">
        <v>0.27790687987271895</v>
      </c>
      <c r="BB9" s="24">
        <v>0</v>
      </c>
      <c r="BC9" s="24">
        <v>0</v>
      </c>
      <c r="BD9" s="24">
        <v>1.17</v>
      </c>
      <c r="BE9">
        <v>6</v>
      </c>
      <c r="BF9">
        <v>1.7948717948717947</v>
      </c>
      <c r="BZ9">
        <v>4.9689440993788817E-2</v>
      </c>
      <c r="CA9">
        <v>0</v>
      </c>
      <c r="CB9">
        <v>4.9689440993788817E-2</v>
      </c>
    </row>
    <row r="10" spans="2:80" x14ac:dyDescent="0.25">
      <c r="AZ10" s="24">
        <v>7</v>
      </c>
      <c r="BA10" s="24">
        <v>0.27538448420972889</v>
      </c>
      <c r="BB10" s="24">
        <v>0</v>
      </c>
      <c r="BC10" s="24">
        <v>0</v>
      </c>
      <c r="BD10" s="24">
        <v>1.365</v>
      </c>
      <c r="BE10">
        <v>7</v>
      </c>
      <c r="BF10">
        <v>0.51282051282051277</v>
      </c>
      <c r="BZ10">
        <v>5.5900621118012424E-2</v>
      </c>
      <c r="CA10">
        <v>0</v>
      </c>
      <c r="CB10">
        <v>5.5900621118012424E-2</v>
      </c>
    </row>
    <row r="11" spans="2:80" x14ac:dyDescent="0.25">
      <c r="AZ11" s="24">
        <v>8</v>
      </c>
      <c r="BA11" s="24">
        <v>0.27412862245770181</v>
      </c>
      <c r="BB11" s="24">
        <v>0</v>
      </c>
      <c r="BC11" s="24">
        <v>0</v>
      </c>
      <c r="BD11" s="24">
        <v>1.56</v>
      </c>
      <c r="BE11">
        <v>8</v>
      </c>
      <c r="BF11">
        <v>0.51282051282051277</v>
      </c>
      <c r="BZ11">
        <v>6.2111801242236024E-2</v>
      </c>
      <c r="CA11">
        <v>0</v>
      </c>
      <c r="CB11">
        <v>6.2111801242236024E-2</v>
      </c>
    </row>
    <row r="12" spans="2:80" x14ac:dyDescent="0.25">
      <c r="AZ12" s="24">
        <v>9</v>
      </c>
      <c r="BA12" s="24">
        <v>0.27287633116701449</v>
      </c>
      <c r="BB12" s="24">
        <v>0</v>
      </c>
      <c r="BC12" s="24">
        <v>0</v>
      </c>
      <c r="BD12" s="24">
        <v>1.7550000000000001</v>
      </c>
      <c r="BE12">
        <v>9</v>
      </c>
      <c r="BF12">
        <v>0.51282051282051277</v>
      </c>
      <c r="BZ12">
        <v>8.0745341614906832E-2</v>
      </c>
      <c r="CA12">
        <v>2.564102564102564E-2</v>
      </c>
      <c r="CB12">
        <v>8.0745341614906832E-2</v>
      </c>
    </row>
    <row r="13" spans="2:80" x14ac:dyDescent="0.25">
      <c r="AZ13" s="24">
        <v>10</v>
      </c>
      <c r="BA13" s="24">
        <v>0.2716276198978107</v>
      </c>
      <c r="BB13" s="24">
        <v>0</v>
      </c>
      <c r="BC13" s="24">
        <v>0</v>
      </c>
      <c r="BD13" s="24">
        <v>1.9500000000000002</v>
      </c>
      <c r="BE13">
        <v>10</v>
      </c>
      <c r="BF13">
        <v>0</v>
      </c>
      <c r="BZ13">
        <v>9.3167701863354033E-2</v>
      </c>
      <c r="CA13">
        <v>2.564102564102564E-2</v>
      </c>
      <c r="CB13">
        <v>9.3167701863354033E-2</v>
      </c>
    </row>
    <row r="14" spans="2:80" x14ac:dyDescent="0.25">
      <c r="AZ14" s="24">
        <v>11</v>
      </c>
      <c r="BA14" s="24">
        <v>0.27038249801385822</v>
      </c>
      <c r="BB14" s="24">
        <v>0</v>
      </c>
      <c r="BC14" s="24">
        <v>0</v>
      </c>
      <c r="BD14" s="24">
        <v>2.145</v>
      </c>
      <c r="BZ14">
        <v>9.3167701863354033E-2</v>
      </c>
      <c r="CA14">
        <v>5.128205128205128E-2</v>
      </c>
      <c r="CB14">
        <v>9.3167701863354033E-2</v>
      </c>
    </row>
    <row r="15" spans="2:80" x14ac:dyDescent="0.25">
      <c r="AZ15" s="24">
        <v>12</v>
      </c>
      <c r="BA15" s="24">
        <v>0.27038249801385822</v>
      </c>
      <c r="BB15" s="24">
        <v>0</v>
      </c>
      <c r="BC15" s="24">
        <v>0</v>
      </c>
      <c r="BD15" s="24">
        <v>2.34</v>
      </c>
      <c r="BZ15">
        <v>9.3167701863354033E-2</v>
      </c>
      <c r="CA15">
        <v>7.6923076923076927E-2</v>
      </c>
      <c r="CB15">
        <v>9.3167701863354033E-2</v>
      </c>
    </row>
    <row r="16" spans="2:80" x14ac:dyDescent="0.25">
      <c r="AZ16" s="24">
        <v>13</v>
      </c>
      <c r="BA16" s="24">
        <v>0.27038249801385822</v>
      </c>
      <c r="BB16" s="24">
        <v>1</v>
      </c>
      <c r="BC16" s="24">
        <v>1</v>
      </c>
      <c r="BD16" s="24">
        <v>2.5350000000000001</v>
      </c>
      <c r="BZ16">
        <v>9.3167701863354033E-2</v>
      </c>
      <c r="CA16">
        <v>0.10256410256410256</v>
      </c>
      <c r="CB16">
        <v>9.3167701863354033E-2</v>
      </c>
    </row>
    <row r="17" spans="52:80" x14ac:dyDescent="0.25">
      <c r="AZ17" s="24">
        <v>14</v>
      </c>
      <c r="BA17" s="24">
        <v>0.27038249801385822</v>
      </c>
      <c r="BB17" s="24">
        <v>0</v>
      </c>
      <c r="BC17" s="24">
        <v>1</v>
      </c>
      <c r="BD17" s="24">
        <v>2.73</v>
      </c>
      <c r="BZ17">
        <v>9.9378881987577633E-2</v>
      </c>
      <c r="CA17">
        <v>0.10256410256410256</v>
      </c>
      <c r="CB17">
        <v>9.9378881987577633E-2</v>
      </c>
    </row>
    <row r="18" spans="52:80" x14ac:dyDescent="0.25">
      <c r="AZ18" s="24">
        <v>15</v>
      </c>
      <c r="BA18" s="24">
        <v>0.26914097468300807</v>
      </c>
      <c r="BB18" s="24">
        <v>0</v>
      </c>
      <c r="BC18" s="24">
        <v>1</v>
      </c>
      <c r="BD18" s="24">
        <v>2.9250000000000003</v>
      </c>
      <c r="BZ18">
        <v>9.9378881987577633E-2</v>
      </c>
      <c r="CA18">
        <v>0.12820512820512819</v>
      </c>
      <c r="CB18">
        <v>9.9378881987577633E-2</v>
      </c>
    </row>
    <row r="19" spans="52:80" x14ac:dyDescent="0.25">
      <c r="AZ19" s="24">
        <v>16</v>
      </c>
      <c r="BA19" s="24">
        <v>0.26914097468300807</v>
      </c>
      <c r="BB19" s="24">
        <v>0</v>
      </c>
      <c r="BC19" s="24">
        <v>1</v>
      </c>
      <c r="BD19" s="24">
        <v>3.12</v>
      </c>
      <c r="BZ19">
        <v>0.10559006211180125</v>
      </c>
      <c r="CA19">
        <v>0.12820512820512819</v>
      </c>
      <c r="CB19">
        <v>0.10559006211180125</v>
      </c>
    </row>
    <row r="20" spans="52:80" x14ac:dyDescent="0.25">
      <c r="AZ20" s="24">
        <v>17</v>
      </c>
      <c r="BA20" s="24">
        <v>0.26666875937531981</v>
      </c>
      <c r="BB20" s="24">
        <v>1</v>
      </c>
      <c r="BC20" s="24">
        <v>2</v>
      </c>
      <c r="BD20" s="24">
        <v>3.3149999999999999</v>
      </c>
      <c r="BZ20">
        <v>0.11180124223602485</v>
      </c>
      <c r="CA20">
        <v>0.12820512820512819</v>
      </c>
      <c r="CB20">
        <v>0.11180124223602485</v>
      </c>
    </row>
    <row r="21" spans="52:80" x14ac:dyDescent="0.25">
      <c r="AZ21" s="24">
        <v>18</v>
      </c>
      <c r="BA21" s="24">
        <v>0.26421104341782214</v>
      </c>
      <c r="BB21" s="24">
        <v>1</v>
      </c>
      <c r="BC21" s="24">
        <v>3</v>
      </c>
      <c r="BD21" s="24">
        <v>3.5100000000000002</v>
      </c>
      <c r="BZ21">
        <v>0.11801242236024845</v>
      </c>
      <c r="CA21">
        <v>0.12820512820512819</v>
      </c>
      <c r="CB21">
        <v>0.11801242236024845</v>
      </c>
    </row>
    <row r="22" spans="52:80" x14ac:dyDescent="0.25">
      <c r="AZ22" s="24">
        <v>19</v>
      </c>
      <c r="BA22" s="24">
        <v>0.26055180003985812</v>
      </c>
      <c r="BB22" s="24">
        <v>1</v>
      </c>
      <c r="BC22" s="24">
        <v>4</v>
      </c>
      <c r="BD22" s="24">
        <v>3.7050000000000001</v>
      </c>
      <c r="BZ22">
        <v>0.13664596273291926</v>
      </c>
      <c r="CA22">
        <v>0.12820512820512819</v>
      </c>
      <c r="CB22">
        <v>0.13664596273291926</v>
      </c>
    </row>
    <row r="23" spans="52:80" x14ac:dyDescent="0.25">
      <c r="AZ23" s="24">
        <v>20</v>
      </c>
      <c r="BA23" s="24">
        <v>0.25933937183232669</v>
      </c>
      <c r="BB23" s="24">
        <v>0</v>
      </c>
      <c r="BC23" s="24">
        <v>4</v>
      </c>
      <c r="BD23" s="24">
        <v>3.9000000000000004</v>
      </c>
      <c r="BZ23">
        <v>0.14285714285714285</v>
      </c>
      <c r="CA23">
        <v>0.12820512820512819</v>
      </c>
      <c r="CB23">
        <v>0.14285714285714285</v>
      </c>
    </row>
    <row r="24" spans="52:80" x14ac:dyDescent="0.25">
      <c r="AZ24" s="25">
        <v>21</v>
      </c>
      <c r="BA24" s="25">
        <v>0.25572414996450488</v>
      </c>
      <c r="BB24" s="25">
        <v>1</v>
      </c>
      <c r="BC24" s="25">
        <v>5</v>
      </c>
      <c r="BD24" s="25">
        <v>4.0949999999999998</v>
      </c>
      <c r="BZ24">
        <v>0.14285714285714285</v>
      </c>
      <c r="CA24">
        <v>0.15384615384615385</v>
      </c>
      <c r="CB24">
        <v>0.14285714285714285</v>
      </c>
    </row>
    <row r="25" spans="52:80" x14ac:dyDescent="0.25">
      <c r="AZ25" s="25">
        <v>22</v>
      </c>
      <c r="BA25" s="25">
        <v>0.25095559175855048</v>
      </c>
      <c r="BB25" s="25">
        <v>0</v>
      </c>
      <c r="BC25" s="25">
        <v>5</v>
      </c>
      <c r="BD25" s="25">
        <v>4.29</v>
      </c>
      <c r="BZ25">
        <v>0.14906832298136646</v>
      </c>
      <c r="CA25">
        <v>0.15384615384615385</v>
      </c>
      <c r="CB25">
        <v>0.14906832298136646</v>
      </c>
    </row>
    <row r="26" spans="52:80" x14ac:dyDescent="0.25">
      <c r="AZ26" s="25">
        <v>23</v>
      </c>
      <c r="BA26" s="25">
        <v>0.2497727342920856</v>
      </c>
      <c r="BB26" s="25">
        <v>0</v>
      </c>
      <c r="BC26" s="25">
        <v>5</v>
      </c>
      <c r="BD26" s="25">
        <v>4.4850000000000003</v>
      </c>
      <c r="BZ26">
        <v>0.18012422360248448</v>
      </c>
      <c r="CA26">
        <v>0.15384615384615385</v>
      </c>
      <c r="CB26">
        <v>0.18012422360248448</v>
      </c>
    </row>
    <row r="27" spans="52:80" x14ac:dyDescent="0.25">
      <c r="AZ27" s="25">
        <v>24</v>
      </c>
      <c r="BA27" s="25">
        <v>0.24859360178706014</v>
      </c>
      <c r="BB27" s="25">
        <v>0</v>
      </c>
      <c r="BC27" s="25">
        <v>5</v>
      </c>
      <c r="BD27" s="25">
        <v>4.68</v>
      </c>
      <c r="BZ27">
        <v>0.19875776397515527</v>
      </c>
      <c r="CA27">
        <v>0.15384615384615385</v>
      </c>
      <c r="CB27">
        <v>0.19875776397515527</v>
      </c>
    </row>
    <row r="28" spans="52:80" x14ac:dyDescent="0.25">
      <c r="AZ28" s="25">
        <v>25</v>
      </c>
      <c r="BA28" s="25">
        <v>0.24741819998309791</v>
      </c>
      <c r="BB28" s="25">
        <v>0</v>
      </c>
      <c r="BC28" s="25">
        <v>5</v>
      </c>
      <c r="BD28" s="25">
        <v>4.875</v>
      </c>
      <c r="BZ28">
        <v>0.19875776397515527</v>
      </c>
      <c r="CA28">
        <v>0.17948717948717949</v>
      </c>
      <c r="CB28">
        <v>0.19875776397515527</v>
      </c>
    </row>
    <row r="29" spans="52:80" x14ac:dyDescent="0.25">
      <c r="AZ29" s="25">
        <v>26</v>
      </c>
      <c r="BA29" s="25">
        <v>0.24741819998309791</v>
      </c>
      <c r="BB29" s="25">
        <v>0</v>
      </c>
      <c r="BC29" s="25">
        <v>5</v>
      </c>
      <c r="BD29" s="25">
        <v>5.07</v>
      </c>
      <c r="BZ29">
        <v>0.21118012422360249</v>
      </c>
      <c r="CA29">
        <v>0.17948717948717949</v>
      </c>
      <c r="CB29">
        <v>0.21118012422360249</v>
      </c>
    </row>
    <row r="30" spans="52:80" x14ac:dyDescent="0.25">
      <c r="AZ30" s="25">
        <v>27</v>
      </c>
      <c r="BA30" s="25">
        <v>0.24741819998309791</v>
      </c>
      <c r="BB30" s="25">
        <v>0</v>
      </c>
      <c r="BC30" s="25">
        <v>5</v>
      </c>
      <c r="BD30" s="25">
        <v>5.2650000000000006</v>
      </c>
      <c r="BZ30">
        <v>0.21739130434782608</v>
      </c>
      <c r="CA30">
        <v>0.17948717948717949</v>
      </c>
      <c r="CB30">
        <v>0.21739130434782608</v>
      </c>
    </row>
    <row r="31" spans="52:80" x14ac:dyDescent="0.25">
      <c r="AZ31" s="25">
        <v>28</v>
      </c>
      <c r="BA31" s="25">
        <v>0.24624653443584413</v>
      </c>
      <c r="BB31" s="25">
        <v>0</v>
      </c>
      <c r="BC31" s="25">
        <v>5</v>
      </c>
      <c r="BD31" s="25">
        <v>5.46</v>
      </c>
      <c r="BZ31">
        <v>0.2236024844720497</v>
      </c>
      <c r="CA31">
        <v>0.20512820512820512</v>
      </c>
      <c r="CB31">
        <v>0.2236024844720497</v>
      </c>
    </row>
    <row r="32" spans="52:80" x14ac:dyDescent="0.25">
      <c r="AZ32" s="25">
        <v>29</v>
      </c>
      <c r="BA32" s="25">
        <v>0.24391443341884703</v>
      </c>
      <c r="BB32" s="25">
        <v>1</v>
      </c>
      <c r="BC32" s="25">
        <v>6</v>
      </c>
      <c r="BD32" s="25">
        <v>5.6550000000000002</v>
      </c>
      <c r="BZ32">
        <v>0.2236024844720497</v>
      </c>
      <c r="CA32">
        <v>0.23076923076923078</v>
      </c>
      <c r="CB32">
        <v>0.2236024844720497</v>
      </c>
    </row>
    <row r="33" spans="9:80" x14ac:dyDescent="0.25">
      <c r="AZ33" s="25">
        <v>30</v>
      </c>
      <c r="BA33" s="25">
        <v>0.24275400814759643</v>
      </c>
      <c r="BB33" s="25">
        <v>0</v>
      </c>
      <c r="BC33" s="25">
        <v>6</v>
      </c>
      <c r="BD33" s="25">
        <v>5.8500000000000005</v>
      </c>
      <c r="BZ33">
        <v>0.22981366459627328</v>
      </c>
      <c r="CA33">
        <v>0.23076923076923078</v>
      </c>
      <c r="CB33">
        <v>0.22981366459627328</v>
      </c>
    </row>
    <row r="34" spans="9:80" x14ac:dyDescent="0.25">
      <c r="AZ34" s="25">
        <v>31</v>
      </c>
      <c r="BA34" s="25">
        <v>0.24159733953166854</v>
      </c>
      <c r="BB34" s="25">
        <v>0</v>
      </c>
      <c r="BC34" s="25">
        <v>6</v>
      </c>
      <c r="BD34" s="25">
        <v>6.0449999999999999</v>
      </c>
      <c r="BZ34">
        <v>0.2360248447204969</v>
      </c>
      <c r="CA34">
        <v>0.23076923076923078</v>
      </c>
      <c r="CB34">
        <v>0.2360248447204969</v>
      </c>
    </row>
    <row r="35" spans="9:80" x14ac:dyDescent="0.25">
      <c r="AZ35" s="25">
        <v>32</v>
      </c>
      <c r="BA35" s="25">
        <v>0.24159733953166854</v>
      </c>
      <c r="BB35" s="25">
        <v>0</v>
      </c>
      <c r="BC35" s="25">
        <v>6</v>
      </c>
      <c r="BD35" s="25">
        <v>6.24</v>
      </c>
      <c r="BZ35">
        <v>0.2484472049689441</v>
      </c>
      <c r="CA35">
        <v>0.23076923076923078</v>
      </c>
      <c r="CB35">
        <v>0.2484472049689441</v>
      </c>
    </row>
    <row r="36" spans="9:80" x14ac:dyDescent="0.25">
      <c r="AZ36" s="25">
        <v>33</v>
      </c>
      <c r="BA36" s="25">
        <v>0.24159733953166854</v>
      </c>
      <c r="BB36" s="25">
        <v>0</v>
      </c>
      <c r="BC36" s="25">
        <v>6</v>
      </c>
      <c r="BD36" s="25">
        <v>6.4350000000000005</v>
      </c>
      <c r="BZ36">
        <v>0.25465838509316768</v>
      </c>
      <c r="CA36">
        <v>0.23076923076923078</v>
      </c>
      <c r="CB36">
        <v>0.25465838509316768</v>
      </c>
    </row>
    <row r="37" spans="9:80" x14ac:dyDescent="0.25">
      <c r="AZ37" s="25">
        <v>34</v>
      </c>
      <c r="BA37" s="25">
        <v>0.24159733953166854</v>
      </c>
      <c r="BB37" s="25">
        <v>0</v>
      </c>
      <c r="BC37" s="25">
        <v>6</v>
      </c>
      <c r="BD37" s="25">
        <v>6.63</v>
      </c>
      <c r="BZ37">
        <v>0.25465838509316768</v>
      </c>
      <c r="CA37">
        <v>0.28205128205128205</v>
      </c>
      <c r="CB37">
        <v>0.25465838509316768</v>
      </c>
    </row>
    <row r="38" spans="9:80" x14ac:dyDescent="0.25">
      <c r="I38" s="10" t="s">
        <v>57</v>
      </c>
      <c r="J38" s="10" t="s">
        <v>58</v>
      </c>
      <c r="K38" s="10" t="s">
        <v>59</v>
      </c>
      <c r="L38" s="10" t="s">
        <v>60</v>
      </c>
      <c r="M38" s="10" t="s">
        <v>61</v>
      </c>
      <c r="AZ38" s="25">
        <v>35</v>
      </c>
      <c r="BA38" s="25">
        <v>0.24159733953166854</v>
      </c>
      <c r="BB38" s="25">
        <v>0</v>
      </c>
      <c r="BC38" s="25">
        <v>6</v>
      </c>
      <c r="BD38" s="25">
        <v>6.8250000000000002</v>
      </c>
      <c r="BZ38">
        <v>0.2608695652173913</v>
      </c>
      <c r="CA38">
        <v>0.28205128205128205</v>
      </c>
      <c r="CB38">
        <v>0.2608695652173913</v>
      </c>
    </row>
    <row r="39" spans="9:80" x14ac:dyDescent="0.25">
      <c r="I39" s="9">
        <v>1</v>
      </c>
      <c r="J39" s="7">
        <v>0.2</v>
      </c>
      <c r="K39" s="7">
        <v>0.41039134083406165</v>
      </c>
      <c r="L39" s="7">
        <v>0</v>
      </c>
      <c r="M39" s="7">
        <v>1</v>
      </c>
      <c r="AZ39" s="25">
        <v>36</v>
      </c>
      <c r="BA39" s="25">
        <v>0.23929529067762409</v>
      </c>
      <c r="BB39" s="25">
        <v>0</v>
      </c>
      <c r="BC39" s="25">
        <v>6</v>
      </c>
      <c r="BD39" s="25">
        <v>7.0200000000000005</v>
      </c>
      <c r="BZ39">
        <v>0.27329192546583853</v>
      </c>
      <c r="CA39">
        <v>0.28205128205128205</v>
      </c>
      <c r="CB39">
        <v>0.27329192546583853</v>
      </c>
    </row>
    <row r="40" spans="9:80" x14ac:dyDescent="0.25">
      <c r="I40" s="9">
        <v>2</v>
      </c>
      <c r="J40" s="7">
        <v>0.15</v>
      </c>
      <c r="K40" s="7">
        <v>0.36634754853252316</v>
      </c>
      <c r="L40" s="7">
        <v>0</v>
      </c>
      <c r="M40" s="7">
        <v>1</v>
      </c>
      <c r="AZ40" s="25">
        <v>37</v>
      </c>
      <c r="BA40" s="25">
        <v>0.23929529067762409</v>
      </c>
      <c r="BB40" s="25">
        <v>0</v>
      </c>
      <c r="BC40" s="25">
        <v>6</v>
      </c>
      <c r="BD40" s="25">
        <v>7.2149999999999999</v>
      </c>
      <c r="BZ40">
        <v>0.27329192546583853</v>
      </c>
      <c r="CA40">
        <v>0.30769230769230771</v>
      </c>
      <c r="CB40">
        <v>0.27329192546583853</v>
      </c>
    </row>
    <row r="41" spans="9:80" x14ac:dyDescent="0.25">
      <c r="I41" s="9">
        <v>3</v>
      </c>
      <c r="J41" s="7">
        <v>0.3</v>
      </c>
      <c r="K41" s="7">
        <v>0.47016234598162721</v>
      </c>
      <c r="L41" s="7">
        <v>0</v>
      </c>
      <c r="M41" s="7">
        <v>1</v>
      </c>
      <c r="AZ41" s="25">
        <v>38</v>
      </c>
      <c r="BA41" s="25">
        <v>0.23929529067762409</v>
      </c>
      <c r="BB41" s="25">
        <v>0</v>
      </c>
      <c r="BC41" s="25">
        <v>6</v>
      </c>
      <c r="BD41" s="25">
        <v>7.41</v>
      </c>
      <c r="BZ41">
        <v>0.27950310559006208</v>
      </c>
      <c r="CA41">
        <v>0.30769230769230771</v>
      </c>
      <c r="CB41">
        <v>0.27950310559006208</v>
      </c>
    </row>
    <row r="42" spans="9:80" x14ac:dyDescent="0.25">
      <c r="I42" s="9">
        <v>4</v>
      </c>
      <c r="J42" s="7">
        <v>0.2</v>
      </c>
      <c r="K42" s="7">
        <v>0.4103913408340617</v>
      </c>
      <c r="L42" s="7">
        <v>0</v>
      </c>
      <c r="M42" s="7">
        <v>1</v>
      </c>
      <c r="AZ42" s="25">
        <v>39</v>
      </c>
      <c r="BA42" s="25">
        <v>0.23700832189463189</v>
      </c>
      <c r="BB42" s="25">
        <v>1</v>
      </c>
      <c r="BC42" s="25">
        <v>7</v>
      </c>
      <c r="BD42" s="25">
        <v>7.6050000000000004</v>
      </c>
      <c r="BZ42">
        <v>0.2857142857142857</v>
      </c>
      <c r="CA42">
        <v>0.30769230769230771</v>
      </c>
      <c r="CB42">
        <v>0.2857142857142857</v>
      </c>
    </row>
    <row r="43" spans="9:80" x14ac:dyDescent="0.25">
      <c r="I43" s="9">
        <v>5</v>
      </c>
      <c r="J43" s="7">
        <v>0.45</v>
      </c>
      <c r="K43" s="7">
        <v>0.51041778553404049</v>
      </c>
      <c r="L43" s="7">
        <v>0</v>
      </c>
      <c r="M43" s="7">
        <v>1</v>
      </c>
      <c r="AZ43" s="25">
        <v>40</v>
      </c>
      <c r="BA43" s="25">
        <v>0.23473646538289375</v>
      </c>
      <c r="BB43" s="25">
        <v>0</v>
      </c>
      <c r="BC43" s="25">
        <v>7</v>
      </c>
      <c r="BD43" s="25">
        <v>7.8000000000000007</v>
      </c>
      <c r="BZ43">
        <v>0.29192546583850931</v>
      </c>
      <c r="CA43">
        <v>0.30769230769230771</v>
      </c>
      <c r="CB43">
        <v>0.29192546583850931</v>
      </c>
    </row>
    <row r="44" spans="9:80" x14ac:dyDescent="0.25">
      <c r="I44" s="9">
        <v>6</v>
      </c>
      <c r="J44" s="7">
        <v>0.35</v>
      </c>
      <c r="K44" s="7">
        <v>0.48936048492959283</v>
      </c>
      <c r="L44" s="7">
        <v>0</v>
      </c>
      <c r="M44" s="7">
        <v>1</v>
      </c>
      <c r="AZ44" s="24">
        <v>41</v>
      </c>
      <c r="BA44" s="24">
        <v>0.23473646538289375</v>
      </c>
      <c r="BB44" s="24">
        <v>0</v>
      </c>
      <c r="BC44" s="24">
        <v>7</v>
      </c>
      <c r="BD44" s="24">
        <v>7.9950000000000001</v>
      </c>
      <c r="BZ44">
        <v>0.29192546583850931</v>
      </c>
      <c r="CA44">
        <v>0.33333333333333331</v>
      </c>
      <c r="CB44">
        <v>0.29192546583850931</v>
      </c>
    </row>
    <row r="45" spans="9:80" x14ac:dyDescent="0.25">
      <c r="I45" s="9">
        <v>7</v>
      </c>
      <c r="J45" s="7">
        <v>0.1</v>
      </c>
      <c r="K45" s="7">
        <v>0.30779350562554625</v>
      </c>
      <c r="L45" s="7">
        <v>0</v>
      </c>
      <c r="M45" s="7">
        <v>1</v>
      </c>
      <c r="AZ45" s="24">
        <v>42</v>
      </c>
      <c r="BA45" s="24">
        <v>0.23360621352235511</v>
      </c>
      <c r="BB45" s="24">
        <v>0</v>
      </c>
      <c r="BC45" s="24">
        <v>7</v>
      </c>
      <c r="BD45" s="24">
        <v>8.19</v>
      </c>
      <c r="BZ45">
        <v>0.29192546583850931</v>
      </c>
      <c r="CA45">
        <v>0.35897435897435898</v>
      </c>
      <c r="CB45">
        <v>0.29192546583850931</v>
      </c>
    </row>
    <row r="46" spans="9:80" x14ac:dyDescent="0.25">
      <c r="I46" s="9">
        <v>8</v>
      </c>
      <c r="J46" s="7">
        <v>0.1</v>
      </c>
      <c r="K46" s="7">
        <v>0.30779350562554625</v>
      </c>
      <c r="L46" s="7">
        <v>0</v>
      </c>
      <c r="M46" s="7">
        <v>1</v>
      </c>
      <c r="AZ46" s="24">
        <v>43</v>
      </c>
      <c r="BA46" s="24">
        <v>0.23135707965555613</v>
      </c>
      <c r="BB46" s="24">
        <v>1</v>
      </c>
      <c r="BC46" s="24">
        <v>8</v>
      </c>
      <c r="BD46" s="24">
        <v>8.3849999999999998</v>
      </c>
      <c r="BZ46">
        <v>0.3105590062111801</v>
      </c>
      <c r="CA46">
        <v>0.38461538461538464</v>
      </c>
      <c r="CB46">
        <v>0.3105590062111801</v>
      </c>
    </row>
    <row r="47" spans="9:80" x14ac:dyDescent="0.25">
      <c r="I47" s="9">
        <v>9</v>
      </c>
      <c r="J47" s="7">
        <v>0.1</v>
      </c>
      <c r="K47" s="7">
        <v>0.30779350562554625</v>
      </c>
      <c r="L47" s="7">
        <v>0</v>
      </c>
      <c r="M47" s="7">
        <v>1</v>
      </c>
      <c r="AZ47" s="24">
        <v>44</v>
      </c>
      <c r="BA47" s="24">
        <v>0.23135707965555613</v>
      </c>
      <c r="BB47" s="24">
        <v>0</v>
      </c>
      <c r="BC47" s="24">
        <v>8</v>
      </c>
      <c r="BD47" s="24">
        <v>8.58</v>
      </c>
      <c r="BZ47">
        <v>0.33540372670807456</v>
      </c>
      <c r="CA47">
        <v>0.38461538461538464</v>
      </c>
      <c r="CB47">
        <v>0.33540372670807456</v>
      </c>
    </row>
    <row r="48" spans="9:80" x14ac:dyDescent="0.25">
      <c r="I48" s="9">
        <v>10</v>
      </c>
      <c r="J48" s="7">
        <v>0</v>
      </c>
      <c r="K48" s="7">
        <v>0</v>
      </c>
      <c r="L48" s="7">
        <v>0</v>
      </c>
      <c r="M48" s="7">
        <v>0</v>
      </c>
      <c r="AZ48" s="24">
        <v>45</v>
      </c>
      <c r="BA48" s="24">
        <v>0.23023820395681241</v>
      </c>
      <c r="BB48" s="24">
        <v>1</v>
      </c>
      <c r="BC48" s="24">
        <v>9</v>
      </c>
      <c r="BD48" s="24">
        <v>8.7750000000000004</v>
      </c>
      <c r="BZ48">
        <v>0.34161490683229812</v>
      </c>
      <c r="CA48">
        <v>0.38461538461538464</v>
      </c>
      <c r="CB48">
        <v>0.34161490683229812</v>
      </c>
    </row>
    <row r="49" spans="52:80" x14ac:dyDescent="0.25">
      <c r="AZ49" s="24">
        <v>46</v>
      </c>
      <c r="BA49" s="24">
        <v>0.22801184951393688</v>
      </c>
      <c r="BB49" s="24">
        <v>0</v>
      </c>
      <c r="BC49" s="24">
        <v>9</v>
      </c>
      <c r="BD49" s="24">
        <v>8.9700000000000006</v>
      </c>
      <c r="BZ49">
        <v>0.34782608695652173</v>
      </c>
      <c r="CA49">
        <v>0.41025641025641024</v>
      </c>
      <c r="CB49">
        <v>0.34782608695652173</v>
      </c>
    </row>
    <row r="50" spans="52:80" x14ac:dyDescent="0.25">
      <c r="AZ50" s="24">
        <v>47</v>
      </c>
      <c r="BA50" s="24">
        <v>0.22690437605456062</v>
      </c>
      <c r="BB50" s="24">
        <v>0</v>
      </c>
      <c r="BC50" s="24">
        <v>9</v>
      </c>
      <c r="BD50" s="24">
        <v>9.1650000000000009</v>
      </c>
      <c r="BZ50">
        <v>0.36024844720496896</v>
      </c>
      <c r="CA50">
        <v>0.41025641025641024</v>
      </c>
      <c r="CB50">
        <v>0.36024844720496896</v>
      </c>
    </row>
    <row r="51" spans="52:80" x14ac:dyDescent="0.25">
      <c r="AZ51" s="24">
        <v>48</v>
      </c>
      <c r="BA51" s="24">
        <v>0.22580070834568639</v>
      </c>
      <c r="BB51" s="24">
        <v>0</v>
      </c>
      <c r="BC51" s="24">
        <v>9</v>
      </c>
      <c r="BD51" s="24">
        <v>9.36</v>
      </c>
      <c r="BZ51">
        <v>0.37267080745341613</v>
      </c>
      <c r="CA51">
        <v>0.41025641025641024</v>
      </c>
      <c r="CB51">
        <v>0.37267080745341613</v>
      </c>
    </row>
    <row r="52" spans="52:80" x14ac:dyDescent="0.25">
      <c r="AZ52" s="24">
        <v>49</v>
      </c>
      <c r="BA52" s="24">
        <v>0.22580070834568639</v>
      </c>
      <c r="BB52" s="24">
        <v>0</v>
      </c>
      <c r="BC52" s="24">
        <v>9</v>
      </c>
      <c r="BD52" s="24">
        <v>9.5549999999999997</v>
      </c>
      <c r="BZ52">
        <v>0.37267080745341613</v>
      </c>
      <c r="CA52">
        <v>0.4358974358974359</v>
      </c>
      <c r="CB52">
        <v>0.37267080745341613</v>
      </c>
    </row>
    <row r="53" spans="52:80" x14ac:dyDescent="0.25">
      <c r="AZ53" s="24">
        <v>50</v>
      </c>
      <c r="BA53" s="24">
        <v>0.22470084861010764</v>
      </c>
      <c r="BB53" s="24">
        <v>0</v>
      </c>
      <c r="BC53" s="24">
        <v>9</v>
      </c>
      <c r="BD53" s="24">
        <v>9.75</v>
      </c>
      <c r="BZ53">
        <v>0.38509316770186336</v>
      </c>
      <c r="CA53">
        <v>0.4358974358974359</v>
      </c>
      <c r="CB53">
        <v>0.38509316770186336</v>
      </c>
    </row>
    <row r="54" spans="52:80" x14ac:dyDescent="0.25">
      <c r="AZ54" s="24">
        <v>51</v>
      </c>
      <c r="BA54" s="24">
        <v>0.22360479890457233</v>
      </c>
      <c r="BB54" s="24">
        <v>1</v>
      </c>
      <c r="BC54" s="24">
        <v>10</v>
      </c>
      <c r="BD54" s="24">
        <v>9.9450000000000003</v>
      </c>
      <c r="BZ54">
        <v>0.39130434782608697</v>
      </c>
      <c r="CA54">
        <v>0.4358974358974359</v>
      </c>
      <c r="CB54">
        <v>0.39130434782608697</v>
      </c>
    </row>
    <row r="55" spans="52:80" x14ac:dyDescent="0.25">
      <c r="AZ55" s="24">
        <v>52</v>
      </c>
      <c r="BA55" s="24">
        <v>0.22360479890457233</v>
      </c>
      <c r="BB55" s="24">
        <v>1</v>
      </c>
      <c r="BC55" s="24">
        <v>11</v>
      </c>
      <c r="BD55" s="24">
        <v>10.14</v>
      </c>
      <c r="BZ55">
        <v>0.39130434782608697</v>
      </c>
      <c r="CA55">
        <v>0.46153846153846156</v>
      </c>
      <c r="CB55">
        <v>0.39130434782608697</v>
      </c>
    </row>
    <row r="56" spans="52:80" x14ac:dyDescent="0.25">
      <c r="AZ56" s="24">
        <v>53</v>
      </c>
      <c r="BA56" s="24">
        <v>0.22318352333793492</v>
      </c>
      <c r="BB56" s="24">
        <v>0</v>
      </c>
      <c r="BC56" s="24">
        <v>11</v>
      </c>
      <c r="BD56" s="24">
        <v>10.335000000000001</v>
      </c>
      <c r="BZ56">
        <v>0.39130434782608697</v>
      </c>
      <c r="CA56">
        <v>0.48717948717948717</v>
      </c>
      <c r="CB56">
        <v>0.39130434782608697</v>
      </c>
    </row>
    <row r="57" spans="52:80" x14ac:dyDescent="0.25">
      <c r="AZ57" s="24">
        <v>54</v>
      </c>
      <c r="BA57" s="24">
        <v>0.2225125611207911</v>
      </c>
      <c r="BB57" s="24">
        <v>0</v>
      </c>
      <c r="BC57" s="24">
        <v>11</v>
      </c>
      <c r="BD57" s="24">
        <v>10.530000000000001</v>
      </c>
      <c r="BZ57">
        <v>0.39751552795031053</v>
      </c>
      <c r="CA57">
        <v>0.51282051282051277</v>
      </c>
      <c r="CB57">
        <v>0.39751552795031053</v>
      </c>
    </row>
    <row r="58" spans="52:80" x14ac:dyDescent="0.25">
      <c r="AZ58" s="24">
        <v>55</v>
      </c>
      <c r="BA58" s="24">
        <v>0.2225125611207911</v>
      </c>
      <c r="BB58" s="24">
        <v>0</v>
      </c>
      <c r="BC58" s="24">
        <v>11</v>
      </c>
      <c r="BD58" s="24">
        <v>10.725</v>
      </c>
      <c r="BZ58">
        <v>0.40372670807453415</v>
      </c>
      <c r="CA58">
        <v>0.51282051282051277</v>
      </c>
      <c r="CB58">
        <v>0.40372670807453415</v>
      </c>
    </row>
    <row r="59" spans="52:80" x14ac:dyDescent="0.25">
      <c r="AZ59" s="24">
        <v>56</v>
      </c>
      <c r="BA59" s="24">
        <v>0.22142413698645355</v>
      </c>
      <c r="BB59" s="24">
        <v>1</v>
      </c>
      <c r="BC59" s="24">
        <v>12</v>
      </c>
      <c r="BD59" s="24">
        <v>10.92</v>
      </c>
      <c r="BZ59">
        <v>0.40372670807453415</v>
      </c>
      <c r="CA59">
        <v>0.53846153846153844</v>
      </c>
      <c r="CB59">
        <v>0.40372670807453415</v>
      </c>
    </row>
    <row r="60" spans="52:80" x14ac:dyDescent="0.25">
      <c r="AZ60" s="24">
        <v>57</v>
      </c>
      <c r="BA60" s="24">
        <v>0.21925873576292521</v>
      </c>
      <c r="BB60" s="24">
        <v>0</v>
      </c>
      <c r="BC60" s="24">
        <v>12</v>
      </c>
      <c r="BD60" s="24">
        <v>11.115</v>
      </c>
      <c r="BZ60">
        <v>0.42236024844720499</v>
      </c>
      <c r="CA60">
        <v>0.53846153846153844</v>
      </c>
      <c r="CB60">
        <v>0.42236024844720499</v>
      </c>
    </row>
    <row r="61" spans="52:80" x14ac:dyDescent="0.25">
      <c r="AZ61" s="24">
        <v>58</v>
      </c>
      <c r="BA61" s="24">
        <v>0.21884334028137301</v>
      </c>
      <c r="BB61" s="24">
        <v>0</v>
      </c>
      <c r="BC61" s="24">
        <v>12</v>
      </c>
      <c r="BD61" s="24">
        <v>11.31</v>
      </c>
      <c r="BZ61">
        <v>0.42857142857142855</v>
      </c>
      <c r="CA61">
        <v>0.53846153846153844</v>
      </c>
      <c r="CB61">
        <v>0.42857142857142855</v>
      </c>
    </row>
    <row r="62" spans="52:80" x14ac:dyDescent="0.25">
      <c r="AZ62" s="24">
        <v>59</v>
      </c>
      <c r="BA62" s="24">
        <v>0.21818176131827996</v>
      </c>
      <c r="BB62" s="24">
        <v>0</v>
      </c>
      <c r="BC62" s="24">
        <v>12</v>
      </c>
      <c r="BD62" s="24">
        <v>11.505000000000001</v>
      </c>
      <c r="BZ62">
        <v>0.43478260869565216</v>
      </c>
      <c r="CA62">
        <v>0.58974358974358976</v>
      </c>
      <c r="CB62">
        <v>0.43478260869565216</v>
      </c>
    </row>
    <row r="63" spans="52:80" x14ac:dyDescent="0.25">
      <c r="AZ63" s="24">
        <v>60</v>
      </c>
      <c r="BA63" s="24">
        <v>0.21710860581426084</v>
      </c>
      <c r="BB63" s="24">
        <v>1</v>
      </c>
      <c r="BC63" s="24">
        <v>13</v>
      </c>
      <c r="BD63" s="24">
        <v>11.700000000000001</v>
      </c>
      <c r="BZ63">
        <v>0.44099378881987578</v>
      </c>
      <c r="CA63">
        <v>0.58974358974358976</v>
      </c>
      <c r="CB63">
        <v>0.44099378881987578</v>
      </c>
    </row>
    <row r="64" spans="52:80" x14ac:dyDescent="0.25">
      <c r="AZ64" s="25">
        <v>61</v>
      </c>
      <c r="BA64" s="25">
        <v>0.21669615323793731</v>
      </c>
      <c r="BB64" s="25">
        <v>1</v>
      </c>
      <c r="BC64" s="25">
        <v>14</v>
      </c>
      <c r="BD64" s="25">
        <v>11.895</v>
      </c>
      <c r="BZ64">
        <v>0.44720496894409939</v>
      </c>
      <c r="CA64">
        <v>0.61538461538461542</v>
      </c>
      <c r="CB64">
        <v>0.44720496894409939</v>
      </c>
    </row>
    <row r="65" spans="52:80" x14ac:dyDescent="0.25">
      <c r="AZ65" s="25">
        <v>62</v>
      </c>
      <c r="BA65" s="25">
        <v>0.21603927017399838</v>
      </c>
      <c r="BB65" s="25">
        <v>1</v>
      </c>
      <c r="BC65" s="25">
        <v>15</v>
      </c>
      <c r="BD65" s="25">
        <v>12.09</v>
      </c>
      <c r="BZ65">
        <v>0.453416149068323</v>
      </c>
      <c r="CA65">
        <v>0.61538461538461542</v>
      </c>
      <c r="CB65">
        <v>0.453416149068323</v>
      </c>
    </row>
    <row r="66" spans="52:80" x14ac:dyDescent="0.25">
      <c r="AZ66" s="25">
        <v>63</v>
      </c>
      <c r="BA66" s="25">
        <v>0.21603927017399838</v>
      </c>
      <c r="BB66" s="25">
        <v>0</v>
      </c>
      <c r="BC66" s="25">
        <v>15</v>
      </c>
      <c r="BD66" s="25">
        <v>12.285</v>
      </c>
      <c r="BZ66">
        <v>0.45962732919254656</v>
      </c>
      <c r="CA66">
        <v>0.64102564102564108</v>
      </c>
      <c r="CB66">
        <v>0.45962732919254656</v>
      </c>
    </row>
    <row r="67" spans="52:80" x14ac:dyDescent="0.25">
      <c r="AZ67" s="25">
        <v>64</v>
      </c>
      <c r="BA67" s="25">
        <v>0.21603927017399838</v>
      </c>
      <c r="BB67" s="25">
        <v>0</v>
      </c>
      <c r="BC67" s="25">
        <v>15</v>
      </c>
      <c r="BD67" s="25">
        <v>12.48</v>
      </c>
      <c r="BZ67">
        <v>0.45962732919254656</v>
      </c>
      <c r="CA67">
        <v>0.66666666666666663</v>
      </c>
      <c r="CB67">
        <v>0.45962732919254656</v>
      </c>
    </row>
    <row r="68" spans="52:80" x14ac:dyDescent="0.25">
      <c r="AZ68" s="25">
        <v>65</v>
      </c>
      <c r="BA68" s="25">
        <v>0.21603927017399838</v>
      </c>
      <c r="BB68" s="25">
        <v>0</v>
      </c>
      <c r="BC68" s="25">
        <v>15</v>
      </c>
      <c r="BD68" s="25">
        <v>12.675000000000001</v>
      </c>
      <c r="BZ68">
        <v>0.45962732919254656</v>
      </c>
      <c r="CA68">
        <v>0.69230769230769229</v>
      </c>
      <c r="CB68">
        <v>0.45962732919254656</v>
      </c>
    </row>
    <row r="69" spans="52:80" x14ac:dyDescent="0.25">
      <c r="AZ69" s="25">
        <v>66</v>
      </c>
      <c r="BA69" s="25">
        <v>0.21391206138959956</v>
      </c>
      <c r="BB69" s="25">
        <v>0</v>
      </c>
      <c r="BC69" s="25">
        <v>15</v>
      </c>
      <c r="BD69" s="25">
        <v>12.870000000000001</v>
      </c>
      <c r="BZ69">
        <v>0.47204968944099379</v>
      </c>
      <c r="CA69">
        <v>0.71794871794871795</v>
      </c>
      <c r="CB69">
        <v>0.47204968944099379</v>
      </c>
    </row>
    <row r="70" spans="52:80" x14ac:dyDescent="0.25">
      <c r="AZ70" s="25">
        <v>67</v>
      </c>
      <c r="BA70" s="25">
        <v>0.21391206138959956</v>
      </c>
      <c r="BB70" s="25">
        <v>0</v>
      </c>
      <c r="BC70" s="25">
        <v>15</v>
      </c>
      <c r="BD70" s="25">
        <v>13.065000000000001</v>
      </c>
      <c r="BZ70">
        <v>0.47826086956521741</v>
      </c>
      <c r="CA70">
        <v>0.71794871794871795</v>
      </c>
      <c r="CB70">
        <v>0.47826086956521741</v>
      </c>
    </row>
    <row r="71" spans="52:80" x14ac:dyDescent="0.25">
      <c r="AZ71" s="25">
        <v>68</v>
      </c>
      <c r="BA71" s="25">
        <v>0.21391206138959956</v>
      </c>
      <c r="BB71" s="25">
        <v>0</v>
      </c>
      <c r="BC71" s="25">
        <v>15</v>
      </c>
      <c r="BD71" s="25">
        <v>13.26</v>
      </c>
      <c r="BZ71">
        <v>0.48447204968944102</v>
      </c>
      <c r="CA71">
        <v>0.71794871794871795</v>
      </c>
      <c r="CB71">
        <v>0.48447204968944102</v>
      </c>
    </row>
    <row r="72" spans="52:80" x14ac:dyDescent="0.25">
      <c r="AZ72" s="25">
        <v>69</v>
      </c>
      <c r="BA72" s="25">
        <v>0.21391206138959956</v>
      </c>
      <c r="BB72" s="25">
        <v>0</v>
      </c>
      <c r="BC72" s="25">
        <v>15</v>
      </c>
      <c r="BD72" s="25">
        <v>13.455</v>
      </c>
      <c r="BZ72">
        <v>0.50931677018633537</v>
      </c>
      <c r="CA72">
        <v>0.71794871794871795</v>
      </c>
      <c r="CB72">
        <v>0.50931677018633537</v>
      </c>
    </row>
    <row r="73" spans="52:80" x14ac:dyDescent="0.25">
      <c r="AZ73" s="25">
        <v>70</v>
      </c>
      <c r="BA73" s="25">
        <v>0.21285418930728234</v>
      </c>
      <c r="BB73" s="25">
        <v>0</v>
      </c>
      <c r="BC73" s="25">
        <v>15</v>
      </c>
      <c r="BD73" s="25">
        <v>13.65</v>
      </c>
      <c r="BZ73">
        <v>0.50931677018633537</v>
      </c>
      <c r="CA73">
        <v>0.74358974358974361</v>
      </c>
      <c r="CB73">
        <v>0.50931677018633537</v>
      </c>
    </row>
    <row r="74" spans="52:80" x14ac:dyDescent="0.25">
      <c r="AZ74" s="25">
        <v>71</v>
      </c>
      <c r="BA74" s="25">
        <v>0.21244762582254245</v>
      </c>
      <c r="BB74" s="25">
        <v>1</v>
      </c>
      <c r="BC74" s="25">
        <v>16</v>
      </c>
      <c r="BD74" s="25">
        <v>13.845000000000001</v>
      </c>
      <c r="BZ74">
        <v>0.52173913043478259</v>
      </c>
      <c r="CA74">
        <v>0.74358974358974361</v>
      </c>
      <c r="CB74">
        <v>0.52173913043478259</v>
      </c>
    </row>
    <row r="75" spans="52:80" x14ac:dyDescent="0.25">
      <c r="AZ75" s="25">
        <v>72</v>
      </c>
      <c r="BA75" s="25">
        <v>0.21244762582254245</v>
      </c>
      <c r="BB75" s="25">
        <v>0</v>
      </c>
      <c r="BC75" s="25">
        <v>16</v>
      </c>
      <c r="BD75" s="25">
        <v>14.040000000000001</v>
      </c>
      <c r="BZ75">
        <v>0.52173913043478259</v>
      </c>
      <c r="CA75">
        <v>0.76923076923076927</v>
      </c>
      <c r="CB75">
        <v>0.52173913043478259</v>
      </c>
    </row>
    <row r="76" spans="52:80" x14ac:dyDescent="0.25">
      <c r="AZ76" s="25">
        <v>73</v>
      </c>
      <c r="BA76" s="25">
        <v>0.21180013921452562</v>
      </c>
      <c r="BB76" s="25">
        <v>0</v>
      </c>
      <c r="BC76" s="25">
        <v>16</v>
      </c>
      <c r="BD76" s="25">
        <v>14.235000000000001</v>
      </c>
      <c r="BZ76">
        <v>0.52795031055900621</v>
      </c>
      <c r="CA76">
        <v>0.76923076923076927</v>
      </c>
      <c r="CB76">
        <v>0.52795031055900621</v>
      </c>
    </row>
    <row r="77" spans="52:80" x14ac:dyDescent="0.25">
      <c r="AZ77" s="25">
        <v>74</v>
      </c>
      <c r="BA77" s="25">
        <v>0.21180013921452562</v>
      </c>
      <c r="BB77" s="25">
        <v>0</v>
      </c>
      <c r="BC77" s="25">
        <v>16</v>
      </c>
      <c r="BD77" s="25">
        <v>14.43</v>
      </c>
      <c r="BZ77">
        <v>0.53416149068322982</v>
      </c>
      <c r="CA77">
        <v>0.76923076923076927</v>
      </c>
      <c r="CB77">
        <v>0.53416149068322982</v>
      </c>
    </row>
    <row r="78" spans="52:80" x14ac:dyDescent="0.25">
      <c r="AZ78" s="25">
        <v>75</v>
      </c>
      <c r="BA78" s="25">
        <v>0.21074991125651371</v>
      </c>
      <c r="BB78" s="25">
        <v>0</v>
      </c>
      <c r="BC78" s="25">
        <v>16</v>
      </c>
      <c r="BD78" s="25">
        <v>14.625</v>
      </c>
      <c r="BZ78">
        <v>0.53416149068322982</v>
      </c>
      <c r="CA78">
        <v>0.79487179487179482</v>
      </c>
      <c r="CB78">
        <v>0.53416149068322982</v>
      </c>
    </row>
    <row r="79" spans="52:80" x14ac:dyDescent="0.25">
      <c r="AZ79" s="25">
        <v>76</v>
      </c>
      <c r="BA79" s="25">
        <v>0.21074991125651371</v>
      </c>
      <c r="BB79" s="25">
        <v>0</v>
      </c>
      <c r="BC79" s="25">
        <v>16</v>
      </c>
      <c r="BD79" s="25">
        <v>14.82</v>
      </c>
      <c r="BZ79">
        <v>0.53416149068322982</v>
      </c>
      <c r="CA79">
        <v>0.82051282051282048</v>
      </c>
      <c r="CB79">
        <v>0.53416149068322982</v>
      </c>
    </row>
    <row r="80" spans="52:80" x14ac:dyDescent="0.25">
      <c r="AZ80" s="25">
        <v>77</v>
      </c>
      <c r="BA80" s="25">
        <v>0.21034629300026661</v>
      </c>
      <c r="BB80" s="25">
        <v>1</v>
      </c>
      <c r="BC80" s="25">
        <v>17</v>
      </c>
      <c r="BD80" s="25">
        <v>15.015000000000001</v>
      </c>
      <c r="BZ80">
        <v>0.54037267080745344</v>
      </c>
      <c r="CA80">
        <v>0.82051282051282048</v>
      </c>
      <c r="CB80">
        <v>0.54037267080745344</v>
      </c>
    </row>
    <row r="81" spans="52:80" x14ac:dyDescent="0.25">
      <c r="AZ81" s="25">
        <v>78</v>
      </c>
      <c r="BA81" s="25">
        <v>0.20970350542611282</v>
      </c>
      <c r="BB81" s="25">
        <v>0</v>
      </c>
      <c r="BC81" s="25">
        <v>17</v>
      </c>
      <c r="BD81" s="25">
        <v>15.21</v>
      </c>
      <c r="BZ81">
        <v>0.54658385093167705</v>
      </c>
      <c r="CA81">
        <v>0.84615384615384615</v>
      </c>
      <c r="CB81">
        <v>0.54658385093167705</v>
      </c>
    </row>
    <row r="82" spans="52:80" x14ac:dyDescent="0.25">
      <c r="AZ82" s="25">
        <v>79</v>
      </c>
      <c r="BA82" s="25">
        <v>0.20970350542611282</v>
      </c>
      <c r="BB82" s="25">
        <v>0</v>
      </c>
      <c r="BC82" s="25">
        <v>17</v>
      </c>
      <c r="BD82" s="25">
        <v>15.405000000000001</v>
      </c>
      <c r="BZ82">
        <v>0.56521739130434778</v>
      </c>
      <c r="CA82">
        <v>0.84615384615384615</v>
      </c>
      <c r="CB82">
        <v>0.56521739130434778</v>
      </c>
    </row>
    <row r="83" spans="52:80" x14ac:dyDescent="0.25">
      <c r="AZ83" s="25">
        <v>80</v>
      </c>
      <c r="BA83" s="25">
        <v>0.20930135974856356</v>
      </c>
      <c r="BB83" s="25">
        <v>0</v>
      </c>
      <c r="BC83" s="25">
        <v>17</v>
      </c>
      <c r="BD83" s="25">
        <v>15.600000000000001</v>
      </c>
      <c r="BZ83">
        <v>0.5714285714285714</v>
      </c>
      <c r="CA83">
        <v>0.84615384615384615</v>
      </c>
      <c r="CB83">
        <v>0.5714285714285714</v>
      </c>
    </row>
    <row r="84" spans="52:80" x14ac:dyDescent="0.25">
      <c r="AZ84" s="24">
        <v>81</v>
      </c>
      <c r="BA84" s="24">
        <v>0.20866092156497576</v>
      </c>
      <c r="BB84" s="24">
        <v>1</v>
      </c>
      <c r="BC84" s="24">
        <v>18</v>
      </c>
      <c r="BD84" s="24">
        <v>15.795</v>
      </c>
      <c r="BZ84">
        <v>0.58385093167701863</v>
      </c>
      <c r="CA84">
        <v>0.87179487179487181</v>
      </c>
      <c r="CB84">
        <v>0.58385093167701863</v>
      </c>
    </row>
    <row r="85" spans="52:80" x14ac:dyDescent="0.25">
      <c r="AZ85" s="24">
        <v>82</v>
      </c>
      <c r="BA85" s="24">
        <v>0.20762215936465331</v>
      </c>
      <c r="BB85" s="24">
        <v>1</v>
      </c>
      <c r="BC85" s="24">
        <v>19</v>
      </c>
      <c r="BD85" s="24">
        <v>15.99</v>
      </c>
      <c r="BZ85">
        <v>0.60248447204968947</v>
      </c>
      <c r="CA85">
        <v>0.87179487179487181</v>
      </c>
      <c r="CB85">
        <v>0.60248447204968947</v>
      </c>
    </row>
    <row r="86" spans="52:80" x14ac:dyDescent="0.25">
      <c r="AZ86" s="24">
        <v>83</v>
      </c>
      <c r="BA86" s="24">
        <v>0.20658721836771066</v>
      </c>
      <c r="BB86" s="24">
        <v>0</v>
      </c>
      <c r="BC86" s="24">
        <v>19</v>
      </c>
      <c r="BD86" s="24">
        <v>16.185000000000002</v>
      </c>
      <c r="BZ86">
        <v>0.6149068322981367</v>
      </c>
      <c r="CA86">
        <v>0.87179487179487181</v>
      </c>
      <c r="CB86">
        <v>0.6149068322981367</v>
      </c>
    </row>
    <row r="87" spans="52:80" x14ac:dyDescent="0.25">
      <c r="AZ87" s="24">
        <v>84</v>
      </c>
      <c r="BA87" s="24">
        <v>0.20658721836771066</v>
      </c>
      <c r="BB87" s="24">
        <v>1</v>
      </c>
      <c r="BC87" s="24">
        <v>20</v>
      </c>
      <c r="BD87" s="24">
        <v>16.38</v>
      </c>
      <c r="BZ87">
        <v>0.62732919254658381</v>
      </c>
      <c r="CA87">
        <v>0.87179487179487181</v>
      </c>
      <c r="CB87">
        <v>0.62732919254658381</v>
      </c>
    </row>
    <row r="88" spans="52:80" x14ac:dyDescent="0.25">
      <c r="AZ88" s="24">
        <v>85</v>
      </c>
      <c r="BA88" s="24">
        <v>0.20515984102163715</v>
      </c>
      <c r="BB88" s="24">
        <v>0</v>
      </c>
      <c r="BC88" s="24">
        <v>20</v>
      </c>
      <c r="BD88" s="24">
        <v>16.574999999999999</v>
      </c>
      <c r="BZ88">
        <v>0.63975155279503104</v>
      </c>
      <c r="CA88">
        <v>0.89743589743589747</v>
      </c>
      <c r="CB88">
        <v>0.63975155279503104</v>
      </c>
    </row>
    <row r="89" spans="52:80" x14ac:dyDescent="0.25">
      <c r="AZ89" s="24">
        <v>86</v>
      </c>
      <c r="BA89" s="24">
        <v>0.20452879741603713</v>
      </c>
      <c r="BB89" s="24">
        <v>1</v>
      </c>
      <c r="BC89" s="24">
        <v>21</v>
      </c>
      <c r="BD89" s="24">
        <v>16.77</v>
      </c>
      <c r="BZ89">
        <v>0.65217391304347827</v>
      </c>
      <c r="CA89">
        <v>0.89743589743589747</v>
      </c>
      <c r="CB89">
        <v>0.65217391304347827</v>
      </c>
    </row>
    <row r="90" spans="52:80" x14ac:dyDescent="0.25">
      <c r="AZ90" s="24">
        <v>87</v>
      </c>
      <c r="BA90" s="24">
        <v>0.20350531581163517</v>
      </c>
      <c r="BB90" s="24">
        <v>0</v>
      </c>
      <c r="BC90" s="24">
        <v>21</v>
      </c>
      <c r="BD90" s="24">
        <v>16.965</v>
      </c>
      <c r="BZ90">
        <v>0.65838509316770188</v>
      </c>
      <c r="CA90">
        <v>0.89743589743589747</v>
      </c>
      <c r="CB90">
        <v>0.65838509316770188</v>
      </c>
    </row>
    <row r="91" spans="52:80" x14ac:dyDescent="0.25">
      <c r="AZ91" s="24">
        <v>88</v>
      </c>
      <c r="BA91" s="24">
        <v>0.20350531581163517</v>
      </c>
      <c r="BB91" s="24">
        <v>0</v>
      </c>
      <c r="BC91" s="24">
        <v>21</v>
      </c>
      <c r="BD91" s="24">
        <v>17.16</v>
      </c>
      <c r="BZ91">
        <v>0.6645962732919255</v>
      </c>
      <c r="CA91">
        <v>0.89743589743589747</v>
      </c>
      <c r="CB91">
        <v>0.6645962732919255</v>
      </c>
    </row>
    <row r="92" spans="52:80" x14ac:dyDescent="0.25">
      <c r="AZ92" s="24">
        <v>89</v>
      </c>
      <c r="BA92" s="24">
        <v>0.20350531581163517</v>
      </c>
      <c r="BB92" s="24">
        <v>0</v>
      </c>
      <c r="BC92" s="24">
        <v>21</v>
      </c>
      <c r="BD92" s="24">
        <v>17.355</v>
      </c>
      <c r="BZ92">
        <v>0.67701863354037262</v>
      </c>
      <c r="CA92">
        <v>0.89743589743589747</v>
      </c>
      <c r="CB92">
        <v>0.67701863354037262</v>
      </c>
    </row>
    <row r="93" spans="52:80" x14ac:dyDescent="0.25">
      <c r="AZ93" s="24">
        <v>90</v>
      </c>
      <c r="BA93" s="24">
        <v>0.20209380846371786</v>
      </c>
      <c r="BB93" s="24">
        <v>0</v>
      </c>
      <c r="BC93" s="24">
        <v>21</v>
      </c>
      <c r="BD93" s="24">
        <v>17.55</v>
      </c>
      <c r="BZ93">
        <v>0.68322981366459623</v>
      </c>
      <c r="CA93">
        <v>0.89743589743589747</v>
      </c>
      <c r="CB93">
        <v>0.68322981366459623</v>
      </c>
    </row>
    <row r="94" spans="52:80" x14ac:dyDescent="0.25">
      <c r="AZ94" s="24">
        <v>91</v>
      </c>
      <c r="BA94" s="24">
        <v>0.20146980513632695</v>
      </c>
      <c r="BB94" s="24">
        <v>1</v>
      </c>
      <c r="BC94" s="24">
        <v>22</v>
      </c>
      <c r="BD94" s="24">
        <v>17.745000000000001</v>
      </c>
      <c r="BZ94">
        <v>0.68944099378881984</v>
      </c>
      <c r="CA94">
        <v>0.89743589743589747</v>
      </c>
      <c r="CB94">
        <v>0.68944099378881984</v>
      </c>
    </row>
    <row r="95" spans="52:80" x14ac:dyDescent="0.25">
      <c r="AZ95" s="24">
        <v>92</v>
      </c>
      <c r="BA95" s="24">
        <v>0.20146980513632695</v>
      </c>
      <c r="BB95" s="24">
        <v>1</v>
      </c>
      <c r="BC95" s="24">
        <v>23</v>
      </c>
      <c r="BD95" s="24">
        <v>17.940000000000001</v>
      </c>
      <c r="BZ95">
        <v>0.69565217391304346</v>
      </c>
      <c r="CA95">
        <v>0.89743589743589747</v>
      </c>
      <c r="CB95">
        <v>0.69565217391304346</v>
      </c>
    </row>
    <row r="96" spans="52:80" x14ac:dyDescent="0.25">
      <c r="AZ96" s="24">
        <v>93</v>
      </c>
      <c r="BA96" s="24">
        <v>0.20146980513632695</v>
      </c>
      <c r="BB96" s="24">
        <v>0</v>
      </c>
      <c r="BC96" s="24">
        <v>23</v>
      </c>
      <c r="BD96" s="24">
        <v>18.135000000000002</v>
      </c>
      <c r="BZ96">
        <v>0.69565217391304346</v>
      </c>
      <c r="CA96">
        <v>0.92307692307692313</v>
      </c>
      <c r="CB96">
        <v>0.69565217391304346</v>
      </c>
    </row>
    <row r="97" spans="52:80" x14ac:dyDescent="0.25">
      <c r="AZ97" s="24">
        <v>94</v>
      </c>
      <c r="BA97" s="24">
        <v>0.19944955589309404</v>
      </c>
      <c r="BB97" s="24">
        <v>0</v>
      </c>
      <c r="BC97" s="24">
        <v>23</v>
      </c>
      <c r="BD97" s="24">
        <v>18.330000000000002</v>
      </c>
      <c r="BZ97">
        <v>0.70186335403726707</v>
      </c>
      <c r="CA97">
        <v>0.92307692307692313</v>
      </c>
      <c r="CB97">
        <v>0.70186335403726707</v>
      </c>
    </row>
    <row r="98" spans="52:80" x14ac:dyDescent="0.25">
      <c r="AZ98" s="24">
        <v>95</v>
      </c>
      <c r="BA98" s="24">
        <v>0.19844515054993866</v>
      </c>
      <c r="BB98" s="24">
        <v>0</v>
      </c>
      <c r="BC98" s="24">
        <v>23</v>
      </c>
      <c r="BD98" s="24">
        <v>18.525000000000002</v>
      </c>
      <c r="BZ98">
        <v>0.70807453416149069</v>
      </c>
      <c r="CA98">
        <v>0.92307692307692313</v>
      </c>
      <c r="CB98">
        <v>0.70807453416149069</v>
      </c>
    </row>
    <row r="99" spans="52:80" x14ac:dyDescent="0.25">
      <c r="AZ99" s="24">
        <v>96</v>
      </c>
      <c r="BA99" s="24">
        <v>0.19844515054993866</v>
      </c>
      <c r="BB99" s="24">
        <v>1</v>
      </c>
      <c r="BC99" s="24">
        <v>24</v>
      </c>
      <c r="BD99" s="24">
        <v>18.72</v>
      </c>
      <c r="BZ99">
        <v>0.72670807453416153</v>
      </c>
      <c r="CA99">
        <v>0.92307692307692313</v>
      </c>
      <c r="CB99">
        <v>0.72670807453416153</v>
      </c>
    </row>
    <row r="100" spans="52:80" x14ac:dyDescent="0.25">
      <c r="AZ100" s="24">
        <v>97</v>
      </c>
      <c r="BA100" s="24">
        <v>0.19805918412133136</v>
      </c>
      <c r="BB100" s="24">
        <v>0</v>
      </c>
      <c r="BC100" s="24">
        <v>24</v>
      </c>
      <c r="BD100" s="24">
        <v>18.914999999999999</v>
      </c>
      <c r="BZ100">
        <v>0.74534161490683226</v>
      </c>
      <c r="CA100">
        <v>0.92307692307692313</v>
      </c>
      <c r="CB100">
        <v>0.74534161490683226</v>
      </c>
    </row>
    <row r="101" spans="52:80" x14ac:dyDescent="0.25">
      <c r="AZ101" s="24">
        <v>98</v>
      </c>
      <c r="BA101" s="24">
        <v>0.19744455577570397</v>
      </c>
      <c r="BB101" s="24">
        <v>1</v>
      </c>
      <c r="BC101" s="24">
        <v>25</v>
      </c>
      <c r="BD101" s="24">
        <v>19.11</v>
      </c>
      <c r="BZ101">
        <v>0.75155279503105588</v>
      </c>
      <c r="CA101">
        <v>0.92307692307692313</v>
      </c>
      <c r="CB101">
        <v>0.75155279503105588</v>
      </c>
    </row>
    <row r="102" spans="52:80" x14ac:dyDescent="0.25">
      <c r="AZ102" s="24">
        <v>99</v>
      </c>
      <c r="BA102" s="24">
        <v>0.19744455577570397</v>
      </c>
      <c r="BB102" s="24">
        <v>0</v>
      </c>
      <c r="BC102" s="24">
        <v>25</v>
      </c>
      <c r="BD102" s="24">
        <v>19.305</v>
      </c>
      <c r="BZ102">
        <v>0.7639751552795031</v>
      </c>
      <c r="CA102">
        <v>0.92307692307692313</v>
      </c>
      <c r="CB102">
        <v>0.7639751552795031</v>
      </c>
    </row>
    <row r="103" spans="52:80" x14ac:dyDescent="0.25">
      <c r="AZ103" s="24">
        <v>100</v>
      </c>
      <c r="BA103" s="24">
        <v>0.19706005701091953</v>
      </c>
      <c r="BB103" s="24">
        <v>1</v>
      </c>
      <c r="BC103" s="24">
        <v>26</v>
      </c>
      <c r="BD103" s="24">
        <v>19.5</v>
      </c>
      <c r="BZ103">
        <v>0.7639751552795031</v>
      </c>
      <c r="CA103">
        <v>0.94871794871794868</v>
      </c>
      <c r="CB103">
        <v>0.7639751552795031</v>
      </c>
    </row>
    <row r="104" spans="52:80" x14ac:dyDescent="0.25">
      <c r="AZ104" s="25">
        <v>101</v>
      </c>
      <c r="BA104" s="25">
        <v>0.19644776968561936</v>
      </c>
      <c r="BB104" s="25">
        <v>1</v>
      </c>
      <c r="BC104" s="25">
        <v>27</v>
      </c>
      <c r="BD104" s="25">
        <v>19.695</v>
      </c>
      <c r="BZ104">
        <v>0.77018633540372672</v>
      </c>
      <c r="CA104">
        <v>0.97435897435897434</v>
      </c>
      <c r="CB104">
        <v>0.77018633540372672</v>
      </c>
    </row>
    <row r="105" spans="52:80" x14ac:dyDescent="0.25">
      <c r="AZ105" s="25">
        <v>102</v>
      </c>
      <c r="BA105" s="25">
        <v>0.19545479025852741</v>
      </c>
      <c r="BB105" s="25">
        <v>0</v>
      </c>
      <c r="BC105" s="25">
        <v>27</v>
      </c>
      <c r="BD105" s="25">
        <v>19.89</v>
      </c>
      <c r="BZ105">
        <v>0.78260869565217395</v>
      </c>
      <c r="CA105">
        <v>0.97435897435897434</v>
      </c>
      <c r="CB105">
        <v>0.78260869565217395</v>
      </c>
    </row>
    <row r="106" spans="52:80" x14ac:dyDescent="0.25">
      <c r="AZ106" s="25">
        <v>103</v>
      </c>
      <c r="BA106" s="25">
        <v>0.19545479025852741</v>
      </c>
      <c r="BB106" s="25">
        <v>0</v>
      </c>
      <c r="BC106" s="25">
        <v>27</v>
      </c>
      <c r="BD106" s="25">
        <v>20.085000000000001</v>
      </c>
      <c r="BZ106">
        <v>0.78881987577639756</v>
      </c>
      <c r="CA106">
        <v>0.97435897435897434</v>
      </c>
      <c r="CB106">
        <v>0.78881987577639756</v>
      </c>
    </row>
    <row r="107" spans="52:80" x14ac:dyDescent="0.25">
      <c r="AZ107" s="25">
        <v>104</v>
      </c>
      <c r="BA107" s="25">
        <v>0.19545479025852741</v>
      </c>
      <c r="BB107" s="25">
        <v>1</v>
      </c>
      <c r="BC107" s="25">
        <v>28</v>
      </c>
      <c r="BD107" s="25">
        <v>20.28</v>
      </c>
      <c r="BZ107">
        <v>0.79503105590062106</v>
      </c>
      <c r="CA107">
        <v>0.97435897435897434</v>
      </c>
      <c r="CB107">
        <v>0.79503105590062106</v>
      </c>
    </row>
    <row r="108" spans="52:80" x14ac:dyDescent="0.25">
      <c r="AZ108" s="25">
        <v>105</v>
      </c>
      <c r="BA108" s="25">
        <v>0.19507322448124212</v>
      </c>
      <c r="BB108" s="25">
        <v>0</v>
      </c>
      <c r="BC108" s="25">
        <v>28</v>
      </c>
      <c r="BD108" s="25">
        <v>20.475000000000001</v>
      </c>
      <c r="BZ108">
        <v>0.80124223602484468</v>
      </c>
      <c r="CA108">
        <v>0.97435897435897434</v>
      </c>
      <c r="CB108">
        <v>0.80124223602484468</v>
      </c>
    </row>
    <row r="109" spans="52:80" x14ac:dyDescent="0.25">
      <c r="AZ109" s="25">
        <v>106</v>
      </c>
      <c r="BA109" s="25">
        <v>0.19348024263377261</v>
      </c>
      <c r="BB109" s="25">
        <v>0</v>
      </c>
      <c r="BC109" s="25">
        <v>28</v>
      </c>
      <c r="BD109" s="25">
        <v>20.67</v>
      </c>
      <c r="BZ109">
        <v>0.80745341614906829</v>
      </c>
      <c r="CA109">
        <v>0.97435897435897434</v>
      </c>
      <c r="CB109">
        <v>0.80745341614906829</v>
      </c>
    </row>
    <row r="110" spans="52:80" x14ac:dyDescent="0.25">
      <c r="AZ110" s="25">
        <v>107</v>
      </c>
      <c r="BA110" s="25">
        <v>0.1934802426337725</v>
      </c>
      <c r="BB110" s="25">
        <v>0</v>
      </c>
      <c r="BC110" s="25">
        <v>28</v>
      </c>
      <c r="BD110" s="25">
        <v>20.865000000000002</v>
      </c>
      <c r="BZ110">
        <v>0.81366459627329191</v>
      </c>
      <c r="CA110">
        <v>0.97435897435897434</v>
      </c>
      <c r="CB110">
        <v>0.81366459627329191</v>
      </c>
    </row>
    <row r="111" spans="52:80" x14ac:dyDescent="0.25">
      <c r="AZ111" s="25">
        <v>108</v>
      </c>
      <c r="BA111" s="25">
        <v>0.1934802426337725</v>
      </c>
      <c r="BB111" s="25">
        <v>0</v>
      </c>
      <c r="BC111" s="25">
        <v>28</v>
      </c>
      <c r="BD111" s="25">
        <v>21.060000000000002</v>
      </c>
      <c r="BZ111">
        <v>0.81987577639751552</v>
      </c>
      <c r="CA111">
        <v>0.97435897435897434</v>
      </c>
      <c r="CB111">
        <v>0.81987577639751552</v>
      </c>
    </row>
    <row r="112" spans="52:80" x14ac:dyDescent="0.25">
      <c r="AZ112" s="25">
        <v>109</v>
      </c>
      <c r="BA112" s="25">
        <v>0.1934802426337725</v>
      </c>
      <c r="BB112" s="25">
        <v>0</v>
      </c>
      <c r="BC112" s="25">
        <v>28</v>
      </c>
      <c r="BD112" s="25">
        <v>21.254999999999999</v>
      </c>
      <c r="BZ112">
        <v>0.82608695652173914</v>
      </c>
      <c r="CA112">
        <v>0.97435897435897434</v>
      </c>
      <c r="CB112">
        <v>0.82608695652173914</v>
      </c>
    </row>
    <row r="113" spans="52:80" x14ac:dyDescent="0.25">
      <c r="AZ113" s="25">
        <v>110</v>
      </c>
      <c r="BA113" s="25">
        <v>0.1934802426337725</v>
      </c>
      <c r="BB113" s="25">
        <v>0</v>
      </c>
      <c r="BC113" s="25">
        <v>28</v>
      </c>
      <c r="BD113" s="25">
        <v>21.45</v>
      </c>
      <c r="BZ113">
        <v>0.83229813664596275</v>
      </c>
      <c r="CA113">
        <v>0.97435897435897434</v>
      </c>
      <c r="CB113">
        <v>0.83229813664596275</v>
      </c>
    </row>
    <row r="114" spans="52:80" x14ac:dyDescent="0.25">
      <c r="AZ114" s="25">
        <v>111</v>
      </c>
      <c r="BA114" s="25">
        <v>0.19310160637780577</v>
      </c>
      <c r="BB114" s="25">
        <v>1</v>
      </c>
      <c r="BC114" s="25">
        <v>29</v>
      </c>
      <c r="BD114" s="25">
        <v>21.645</v>
      </c>
      <c r="BZ114">
        <v>0.83850931677018636</v>
      </c>
      <c r="CA114">
        <v>0.97435897435897434</v>
      </c>
      <c r="CB114">
        <v>0.83850931677018636</v>
      </c>
    </row>
    <row r="115" spans="52:80" x14ac:dyDescent="0.25">
      <c r="AZ115" s="25">
        <v>112</v>
      </c>
      <c r="BA115" s="25">
        <v>0.19249866972239305</v>
      </c>
      <c r="BB115" s="25">
        <v>0</v>
      </c>
      <c r="BC115" s="25">
        <v>29</v>
      </c>
      <c r="BD115" s="25">
        <v>21.84</v>
      </c>
      <c r="BZ115">
        <v>0.84472049689440998</v>
      </c>
      <c r="CA115">
        <v>1</v>
      </c>
      <c r="CB115">
        <v>0.84472049689440998</v>
      </c>
    </row>
    <row r="116" spans="52:80" x14ac:dyDescent="0.25">
      <c r="AZ116" s="25">
        <v>113</v>
      </c>
      <c r="BA116" s="25">
        <v>0.19249866972239305</v>
      </c>
      <c r="BB116" s="25">
        <v>0</v>
      </c>
      <c r="BC116" s="25">
        <v>29</v>
      </c>
      <c r="BD116" s="25">
        <v>22.035</v>
      </c>
      <c r="BZ116">
        <v>0.8571428571428571</v>
      </c>
      <c r="CA116">
        <v>1</v>
      </c>
      <c r="CB116">
        <v>0.8571428571428571</v>
      </c>
    </row>
    <row r="117" spans="52:80" x14ac:dyDescent="0.25">
      <c r="AZ117" s="25">
        <v>114</v>
      </c>
      <c r="BA117" s="25">
        <v>0.19114518343924591</v>
      </c>
      <c r="BB117" s="25">
        <v>1</v>
      </c>
      <c r="BC117" s="25">
        <v>30</v>
      </c>
      <c r="BD117" s="25">
        <v>22.23</v>
      </c>
      <c r="BZ117">
        <v>0.86956521739130432</v>
      </c>
      <c r="CA117">
        <v>1</v>
      </c>
      <c r="CB117">
        <v>0.86956521739130432</v>
      </c>
    </row>
    <row r="118" spans="52:80" x14ac:dyDescent="0.25">
      <c r="AZ118" s="25">
        <v>115</v>
      </c>
      <c r="BA118" s="25">
        <v>0.19017266356241072</v>
      </c>
      <c r="BB118" s="25">
        <v>0</v>
      </c>
      <c r="BC118" s="25">
        <v>30</v>
      </c>
      <c r="BD118" s="25">
        <v>22.425000000000001</v>
      </c>
      <c r="BZ118">
        <v>0.87577639751552794</v>
      </c>
      <c r="CA118">
        <v>1</v>
      </c>
      <c r="CB118">
        <v>0.87577639751552794</v>
      </c>
    </row>
    <row r="119" spans="52:80" x14ac:dyDescent="0.25">
      <c r="AZ119" s="25">
        <v>116</v>
      </c>
      <c r="BA119" s="25">
        <v>0.18861032295544114</v>
      </c>
      <c r="BB119" s="25">
        <v>0</v>
      </c>
      <c r="BC119" s="25">
        <v>30</v>
      </c>
      <c r="BD119" s="25">
        <v>22.62</v>
      </c>
      <c r="BZ119">
        <v>0.88819875776397517</v>
      </c>
      <c r="CA119">
        <v>1</v>
      </c>
      <c r="CB119">
        <v>0.88819875776397517</v>
      </c>
    </row>
    <row r="120" spans="52:80" x14ac:dyDescent="0.25">
      <c r="AZ120" s="25">
        <v>117</v>
      </c>
      <c r="BA120" s="25">
        <v>0.18823899267304151</v>
      </c>
      <c r="BB120" s="25">
        <v>1</v>
      </c>
      <c r="BC120" s="25">
        <v>31</v>
      </c>
      <c r="BD120" s="25">
        <v>22.815000000000001</v>
      </c>
      <c r="BZ120">
        <v>0.89440993788819878</v>
      </c>
      <c r="CA120">
        <v>1</v>
      </c>
      <c r="CB120">
        <v>0.89440993788819878</v>
      </c>
    </row>
    <row r="121" spans="52:80" x14ac:dyDescent="0.25">
      <c r="AZ121" s="25">
        <v>118</v>
      </c>
      <c r="BA121" s="25">
        <v>0.18764770809113901</v>
      </c>
      <c r="BB121" s="25">
        <v>1</v>
      </c>
      <c r="BC121" s="25">
        <v>32</v>
      </c>
      <c r="BD121" s="25">
        <v>23.01</v>
      </c>
      <c r="BZ121">
        <v>0.90683229813664601</v>
      </c>
      <c r="CA121">
        <v>1</v>
      </c>
      <c r="CB121">
        <v>0.90683229813664601</v>
      </c>
    </row>
    <row r="122" spans="52:80" x14ac:dyDescent="0.25">
      <c r="AZ122" s="25">
        <v>119</v>
      </c>
      <c r="BA122" s="25">
        <v>0.18573382262887411</v>
      </c>
      <c r="BB122" s="25">
        <v>0</v>
      </c>
      <c r="BC122" s="25">
        <v>32</v>
      </c>
      <c r="BD122" s="25">
        <v>23.205000000000002</v>
      </c>
      <c r="BZ122">
        <v>0.91304347826086951</v>
      </c>
      <c r="CA122">
        <v>1</v>
      </c>
      <c r="CB122">
        <v>0.91304347826086951</v>
      </c>
    </row>
    <row r="123" spans="52:80" x14ac:dyDescent="0.25">
      <c r="AZ123" s="25">
        <v>120</v>
      </c>
      <c r="BA123" s="25">
        <v>0.18478254526686791</v>
      </c>
      <c r="BB123" s="25">
        <v>1</v>
      </c>
      <c r="BC123" s="25">
        <v>33</v>
      </c>
      <c r="BD123" s="25">
        <v>23.400000000000002</v>
      </c>
      <c r="BZ123">
        <v>0.92546583850931674</v>
      </c>
      <c r="CA123">
        <v>1</v>
      </c>
      <c r="CB123">
        <v>0.92546583850931674</v>
      </c>
    </row>
    <row r="124" spans="52:80" x14ac:dyDescent="0.25">
      <c r="AZ124" s="24">
        <v>121</v>
      </c>
      <c r="BA124" s="24">
        <v>0.18478254526686791</v>
      </c>
      <c r="BB124" s="24">
        <v>0</v>
      </c>
      <c r="BC124" s="24">
        <v>33</v>
      </c>
      <c r="BD124" s="24">
        <v>23.595000000000002</v>
      </c>
      <c r="BZ124">
        <v>0.93167701863354035</v>
      </c>
      <c r="CA124">
        <v>1</v>
      </c>
      <c r="CB124">
        <v>0.93167701863354035</v>
      </c>
    </row>
    <row r="125" spans="52:80" x14ac:dyDescent="0.25">
      <c r="AZ125" s="24">
        <v>122</v>
      </c>
      <c r="BA125" s="24">
        <v>0.1838350401037761</v>
      </c>
      <c r="BB125" s="24">
        <v>0</v>
      </c>
      <c r="BC125" s="24">
        <v>33</v>
      </c>
      <c r="BD125" s="24">
        <v>23.79</v>
      </c>
      <c r="BZ125">
        <v>0.93788819875776397</v>
      </c>
      <c r="CA125">
        <v>1</v>
      </c>
      <c r="CB125">
        <v>0.93788819875776397</v>
      </c>
    </row>
    <row r="126" spans="52:80" x14ac:dyDescent="0.25">
      <c r="AZ126" s="24">
        <v>123</v>
      </c>
      <c r="BA126" s="24">
        <v>0.1838350401037761</v>
      </c>
      <c r="BB126" s="24">
        <v>0</v>
      </c>
      <c r="BC126" s="24">
        <v>33</v>
      </c>
      <c r="BD126" s="24">
        <v>23.984999999999999</v>
      </c>
      <c r="BZ126">
        <v>0.94409937888198758</v>
      </c>
      <c r="CA126">
        <v>1</v>
      </c>
      <c r="CB126">
        <v>0.94409937888198758</v>
      </c>
    </row>
    <row r="127" spans="52:80" x14ac:dyDescent="0.25">
      <c r="AZ127" s="24">
        <v>124</v>
      </c>
      <c r="BA127" s="24">
        <v>0.1838350401037761</v>
      </c>
      <c r="BB127" s="24">
        <v>0</v>
      </c>
      <c r="BC127" s="24">
        <v>33</v>
      </c>
      <c r="BD127" s="24">
        <v>24.18</v>
      </c>
      <c r="BZ127">
        <v>0.9503105590062112</v>
      </c>
      <c r="CA127">
        <v>1</v>
      </c>
      <c r="CB127">
        <v>0.9503105590062112</v>
      </c>
    </row>
    <row r="128" spans="52:80" x14ac:dyDescent="0.25">
      <c r="AZ128" s="24">
        <v>125</v>
      </c>
      <c r="BA128" s="24">
        <v>0.18252869970163935</v>
      </c>
      <c r="BB128" s="24">
        <v>0</v>
      </c>
      <c r="BC128" s="24">
        <v>33</v>
      </c>
      <c r="BD128" s="24">
        <v>24.375</v>
      </c>
      <c r="BZ128">
        <v>0.95652173913043481</v>
      </c>
      <c r="CA128">
        <v>1</v>
      </c>
      <c r="CB128">
        <v>0.95652173913043481</v>
      </c>
    </row>
    <row r="129" spans="52:80" x14ac:dyDescent="0.25">
      <c r="AZ129" s="24">
        <v>126</v>
      </c>
      <c r="BA129" s="24">
        <v>0.18008266591146496</v>
      </c>
      <c r="BB129" s="24">
        <v>0</v>
      </c>
      <c r="BC129" s="24">
        <v>33</v>
      </c>
      <c r="BD129" s="24">
        <v>24.57</v>
      </c>
      <c r="BZ129">
        <v>0.96273291925465843</v>
      </c>
      <c r="CA129">
        <v>1</v>
      </c>
      <c r="CB129">
        <v>0.96273291925465843</v>
      </c>
    </row>
    <row r="130" spans="52:80" x14ac:dyDescent="0.25">
      <c r="AZ130" s="24">
        <v>127</v>
      </c>
      <c r="BA130" s="24">
        <v>0.18008266591146496</v>
      </c>
      <c r="BB130" s="24">
        <v>0</v>
      </c>
      <c r="BC130" s="24">
        <v>33</v>
      </c>
      <c r="BD130" s="24">
        <v>24.765000000000001</v>
      </c>
      <c r="BZ130">
        <v>0.96894409937888204</v>
      </c>
      <c r="CA130">
        <v>1</v>
      </c>
      <c r="CB130">
        <v>0.96894409937888204</v>
      </c>
    </row>
    <row r="131" spans="52:80" x14ac:dyDescent="0.25">
      <c r="AZ131" s="24">
        <v>128</v>
      </c>
      <c r="BA131" s="24">
        <v>0.18008266591146496</v>
      </c>
      <c r="BB131" s="24">
        <v>1</v>
      </c>
      <c r="BC131" s="24">
        <v>34</v>
      </c>
      <c r="BD131" s="24">
        <v>24.96</v>
      </c>
      <c r="BZ131">
        <v>0.97515527950310554</v>
      </c>
      <c r="CA131">
        <v>1</v>
      </c>
      <c r="CB131">
        <v>0.97515527950310554</v>
      </c>
    </row>
    <row r="132" spans="52:80" x14ac:dyDescent="0.25">
      <c r="AZ132" s="24">
        <v>129</v>
      </c>
      <c r="BA132" s="24">
        <v>0.17822901051272877</v>
      </c>
      <c r="BB132" s="24">
        <v>0</v>
      </c>
      <c r="BC132" s="24">
        <v>34</v>
      </c>
      <c r="BD132" s="24">
        <v>25.155000000000001</v>
      </c>
      <c r="BZ132">
        <v>0.98136645962732916</v>
      </c>
      <c r="CA132">
        <v>1</v>
      </c>
      <c r="CB132">
        <v>0.98136645962732916</v>
      </c>
    </row>
    <row r="133" spans="52:80" x14ac:dyDescent="0.25">
      <c r="AZ133" s="24">
        <v>130</v>
      </c>
      <c r="BA133" s="24">
        <v>0.17822901051272877</v>
      </c>
      <c r="BB133" s="24">
        <v>0</v>
      </c>
      <c r="BC133" s="24">
        <v>34</v>
      </c>
      <c r="BD133" s="24">
        <v>25.35</v>
      </c>
      <c r="BZ133">
        <v>0.98757763975155277</v>
      </c>
      <c r="CA133">
        <v>1</v>
      </c>
      <c r="CB133">
        <v>0.98757763975155277</v>
      </c>
    </row>
    <row r="134" spans="52:80" x14ac:dyDescent="0.25">
      <c r="AZ134" s="24">
        <v>131</v>
      </c>
      <c r="BA134" s="24">
        <v>0.17822901051272877</v>
      </c>
      <c r="BB134" s="24">
        <v>0</v>
      </c>
      <c r="BC134" s="24">
        <v>34</v>
      </c>
      <c r="BD134" s="24">
        <v>25.545000000000002</v>
      </c>
      <c r="BZ134">
        <v>1</v>
      </c>
      <c r="CA134">
        <v>1</v>
      </c>
      <c r="CB134">
        <v>1</v>
      </c>
    </row>
    <row r="135" spans="52:80" x14ac:dyDescent="0.25">
      <c r="AZ135" s="24">
        <v>132</v>
      </c>
      <c r="BA135" s="24">
        <v>0.17639033066452067</v>
      </c>
      <c r="BB135" s="24">
        <v>0</v>
      </c>
      <c r="BC135" s="24">
        <v>34</v>
      </c>
      <c r="BD135" s="24">
        <v>25.740000000000002</v>
      </c>
    </row>
    <row r="136" spans="52:80" x14ac:dyDescent="0.25">
      <c r="AZ136" s="24">
        <v>133</v>
      </c>
      <c r="BA136" s="24">
        <v>0.17639033066452067</v>
      </c>
      <c r="BB136" s="24">
        <v>0</v>
      </c>
      <c r="BC136" s="24">
        <v>34</v>
      </c>
      <c r="BD136" s="24">
        <v>25.935000000000002</v>
      </c>
    </row>
    <row r="137" spans="52:80" x14ac:dyDescent="0.25">
      <c r="AZ137" s="24">
        <v>134</v>
      </c>
      <c r="BA137" s="24">
        <v>0.17547659525106013</v>
      </c>
      <c r="BB137" s="24">
        <v>0</v>
      </c>
      <c r="BC137" s="24">
        <v>34</v>
      </c>
      <c r="BD137" s="24">
        <v>26.130000000000003</v>
      </c>
    </row>
    <row r="138" spans="52:80" x14ac:dyDescent="0.25">
      <c r="AZ138" s="24">
        <v>135</v>
      </c>
      <c r="BA138" s="24">
        <v>0.17547659525106013</v>
      </c>
      <c r="BB138" s="24">
        <v>0</v>
      </c>
      <c r="BC138" s="24">
        <v>34</v>
      </c>
      <c r="BD138" s="24">
        <v>26.324999999999999</v>
      </c>
    </row>
    <row r="139" spans="52:80" x14ac:dyDescent="0.25">
      <c r="AZ139" s="24">
        <v>136</v>
      </c>
      <c r="BA139" s="24">
        <v>0.17456658991828952</v>
      </c>
      <c r="BB139" s="24">
        <v>0</v>
      </c>
      <c r="BC139" s="24">
        <v>34</v>
      </c>
      <c r="BD139" s="24">
        <v>26.52</v>
      </c>
    </row>
    <row r="140" spans="52:80" x14ac:dyDescent="0.25">
      <c r="AZ140" s="24">
        <v>137</v>
      </c>
      <c r="BA140" s="24">
        <v>0.17456658991828952</v>
      </c>
      <c r="BB140" s="24">
        <v>0</v>
      </c>
      <c r="BC140" s="24">
        <v>34</v>
      </c>
      <c r="BD140" s="24">
        <v>26.715</v>
      </c>
    </row>
    <row r="141" spans="52:80" x14ac:dyDescent="0.25">
      <c r="AZ141" s="24">
        <v>138</v>
      </c>
      <c r="BA141" s="24">
        <v>0.17456658991828952</v>
      </c>
      <c r="BB141" s="24">
        <v>1</v>
      </c>
      <c r="BC141" s="24">
        <v>35</v>
      </c>
      <c r="BD141" s="24">
        <v>26.91</v>
      </c>
    </row>
    <row r="142" spans="52:80" x14ac:dyDescent="0.25">
      <c r="AZ142" s="24">
        <v>139</v>
      </c>
      <c r="BA142" s="24">
        <v>0.17366030983475642</v>
      </c>
      <c r="BB142" s="24">
        <v>0</v>
      </c>
      <c r="BC142" s="24">
        <v>35</v>
      </c>
      <c r="BD142" s="24">
        <v>27.105</v>
      </c>
    </row>
    <row r="143" spans="52:80" x14ac:dyDescent="0.25">
      <c r="AZ143" s="24">
        <v>140</v>
      </c>
      <c r="BA143" s="24">
        <v>0.17366030983475642</v>
      </c>
      <c r="BB143" s="24">
        <v>0</v>
      </c>
      <c r="BC143" s="24">
        <v>35</v>
      </c>
      <c r="BD143" s="24">
        <v>27.3</v>
      </c>
    </row>
    <row r="144" spans="52:80" x14ac:dyDescent="0.25">
      <c r="AZ144" s="25">
        <v>141</v>
      </c>
      <c r="BA144" s="25">
        <v>0.17096377115387074</v>
      </c>
      <c r="BB144" s="25">
        <v>0</v>
      </c>
      <c r="BC144" s="25">
        <v>35</v>
      </c>
      <c r="BD144" s="25">
        <v>27.495000000000001</v>
      </c>
    </row>
    <row r="145" spans="52:56" x14ac:dyDescent="0.25">
      <c r="AZ145" s="25">
        <v>142</v>
      </c>
      <c r="BA145" s="25">
        <v>0.17061987728380895</v>
      </c>
      <c r="BB145" s="25">
        <v>0</v>
      </c>
      <c r="BC145" s="25">
        <v>35</v>
      </c>
      <c r="BD145" s="25">
        <v>27.69</v>
      </c>
    </row>
    <row r="146" spans="52:56" x14ac:dyDescent="0.25">
      <c r="AZ146" s="25">
        <v>143</v>
      </c>
      <c r="BA146" s="25">
        <v>0.1700723416128419</v>
      </c>
      <c r="BB146" s="25">
        <v>0</v>
      </c>
      <c r="BC146" s="25">
        <v>35</v>
      </c>
      <c r="BD146" s="25">
        <v>27.885000000000002</v>
      </c>
    </row>
    <row r="147" spans="52:56" x14ac:dyDescent="0.25">
      <c r="AZ147" s="25">
        <v>144</v>
      </c>
      <c r="BA147" s="25">
        <v>0.1700723416128419</v>
      </c>
      <c r="BB147" s="25">
        <v>0</v>
      </c>
      <c r="BC147" s="25">
        <v>35</v>
      </c>
      <c r="BD147" s="25">
        <v>28.080000000000002</v>
      </c>
    </row>
    <row r="148" spans="52:56" x14ac:dyDescent="0.25">
      <c r="AZ148" s="25">
        <v>145</v>
      </c>
      <c r="BA148" s="25">
        <v>0.16918461156925149</v>
      </c>
      <c r="BB148" s="25">
        <v>0</v>
      </c>
      <c r="BC148" s="25">
        <v>35</v>
      </c>
      <c r="BD148" s="25">
        <v>28.275000000000002</v>
      </c>
    </row>
    <row r="149" spans="52:56" x14ac:dyDescent="0.25">
      <c r="AZ149" s="25">
        <v>146</v>
      </c>
      <c r="BA149" s="25">
        <v>0.16796095339276548</v>
      </c>
      <c r="BB149" s="25">
        <v>0</v>
      </c>
      <c r="BC149" s="25">
        <v>35</v>
      </c>
      <c r="BD149" s="25">
        <v>28.470000000000002</v>
      </c>
    </row>
    <row r="150" spans="52:56" x14ac:dyDescent="0.25">
      <c r="AZ150" s="25">
        <v>147</v>
      </c>
      <c r="BA150" s="25">
        <v>0.16742022802981288</v>
      </c>
      <c r="BB150" s="25">
        <v>0</v>
      </c>
      <c r="BC150" s="25">
        <v>35</v>
      </c>
      <c r="BD150" s="25">
        <v>28.665000000000003</v>
      </c>
    </row>
    <row r="151" spans="52:56" x14ac:dyDescent="0.25">
      <c r="AZ151" s="25">
        <v>148</v>
      </c>
      <c r="BA151" s="25">
        <v>0.16654356331094533</v>
      </c>
      <c r="BB151" s="25">
        <v>1</v>
      </c>
      <c r="BC151" s="25">
        <v>36</v>
      </c>
      <c r="BD151" s="25">
        <v>28.86</v>
      </c>
    </row>
    <row r="152" spans="52:56" x14ac:dyDescent="0.25">
      <c r="AZ152" s="25">
        <v>149</v>
      </c>
      <c r="BA152" s="25">
        <v>0.16567057564583784</v>
      </c>
      <c r="BB152" s="25">
        <v>0</v>
      </c>
      <c r="BC152" s="25">
        <v>36</v>
      </c>
      <c r="BD152" s="25">
        <v>29.055</v>
      </c>
    </row>
    <row r="153" spans="52:56" x14ac:dyDescent="0.25">
      <c r="AZ153" s="25">
        <v>150</v>
      </c>
      <c r="BA153" s="25">
        <v>0.165335205654428</v>
      </c>
      <c r="BB153" s="25">
        <v>0</v>
      </c>
      <c r="BC153" s="25">
        <v>36</v>
      </c>
      <c r="BD153" s="25">
        <v>29.25</v>
      </c>
    </row>
    <row r="154" spans="52:56" x14ac:dyDescent="0.25">
      <c r="AZ154" s="25">
        <v>151</v>
      </c>
      <c r="BA154" s="25">
        <v>0.16480125917755581</v>
      </c>
      <c r="BB154" s="25">
        <v>0</v>
      </c>
      <c r="BC154" s="25">
        <v>36</v>
      </c>
      <c r="BD154" s="25">
        <v>29.445</v>
      </c>
    </row>
    <row r="155" spans="52:56" x14ac:dyDescent="0.25">
      <c r="AZ155" s="25">
        <v>152</v>
      </c>
      <c r="BA155" s="25">
        <v>0.16480125917755581</v>
      </c>
      <c r="BB155" s="25">
        <v>0</v>
      </c>
      <c r="BC155" s="25">
        <v>36</v>
      </c>
      <c r="BD155" s="25">
        <v>29.64</v>
      </c>
    </row>
    <row r="156" spans="52:56" x14ac:dyDescent="0.25">
      <c r="AZ156" s="25">
        <v>153</v>
      </c>
      <c r="BA156" s="25">
        <v>0.16480125917755581</v>
      </c>
      <c r="BB156" s="25">
        <v>0</v>
      </c>
      <c r="BC156" s="25">
        <v>36</v>
      </c>
      <c r="BD156" s="25">
        <v>29.835000000000001</v>
      </c>
    </row>
    <row r="157" spans="52:56" x14ac:dyDescent="0.25">
      <c r="AZ157" s="25">
        <v>154</v>
      </c>
      <c r="BA157" s="25">
        <v>0.16393560795311171</v>
      </c>
      <c r="BB157" s="25">
        <v>0</v>
      </c>
      <c r="BC157" s="25">
        <v>36</v>
      </c>
      <c r="BD157" s="25">
        <v>30.03</v>
      </c>
    </row>
    <row r="158" spans="52:56" x14ac:dyDescent="0.25">
      <c r="AZ158" s="25">
        <v>155</v>
      </c>
      <c r="BA158" s="25">
        <v>0.16393560795311171</v>
      </c>
      <c r="BB158" s="25">
        <v>0</v>
      </c>
      <c r="BC158" s="25">
        <v>36</v>
      </c>
      <c r="BD158" s="25">
        <v>30.225000000000001</v>
      </c>
    </row>
    <row r="159" spans="52:56" x14ac:dyDescent="0.25">
      <c r="AZ159" s="25">
        <v>156</v>
      </c>
      <c r="BA159" s="25">
        <v>0.16393560795311171</v>
      </c>
      <c r="BB159" s="25">
        <v>0</v>
      </c>
      <c r="BC159" s="25">
        <v>36</v>
      </c>
      <c r="BD159" s="25">
        <v>30.42</v>
      </c>
    </row>
    <row r="160" spans="52:56" x14ac:dyDescent="0.25">
      <c r="AZ160" s="25">
        <v>157</v>
      </c>
      <c r="BA160" s="25">
        <v>0.16221527695055615</v>
      </c>
      <c r="BB160" s="25">
        <v>0</v>
      </c>
      <c r="BC160" s="25">
        <v>36</v>
      </c>
      <c r="BD160" s="25">
        <v>30.615000000000002</v>
      </c>
    </row>
    <row r="161" spans="52:56" x14ac:dyDescent="0.25">
      <c r="AZ161" s="25">
        <v>158</v>
      </c>
      <c r="BA161" s="25">
        <v>0.16136058479674609</v>
      </c>
      <c r="BB161" s="25">
        <v>0</v>
      </c>
      <c r="BC161" s="25">
        <v>36</v>
      </c>
      <c r="BD161" s="25">
        <v>30.810000000000002</v>
      </c>
    </row>
    <row r="162" spans="52:56" x14ac:dyDescent="0.25">
      <c r="AZ162" s="25">
        <v>159</v>
      </c>
      <c r="BA162" s="25">
        <v>0.16136058479674609</v>
      </c>
      <c r="BB162" s="25">
        <v>0</v>
      </c>
      <c r="BC162" s="25">
        <v>36</v>
      </c>
      <c r="BD162" s="25">
        <v>31.005000000000003</v>
      </c>
    </row>
    <row r="163" spans="52:56" x14ac:dyDescent="0.25">
      <c r="AZ163" s="25">
        <v>160</v>
      </c>
      <c r="BA163" s="25">
        <v>0.15966211555772869</v>
      </c>
      <c r="BB163" s="25">
        <v>1</v>
      </c>
      <c r="BC163" s="25">
        <v>37</v>
      </c>
      <c r="BD163" s="25">
        <v>31.200000000000003</v>
      </c>
    </row>
    <row r="164" spans="52:56" x14ac:dyDescent="0.25">
      <c r="AZ164" s="24">
        <v>161</v>
      </c>
      <c r="BA164" s="24">
        <v>0.15714160180604103</v>
      </c>
      <c r="BB164" s="24">
        <v>0</v>
      </c>
      <c r="BC164" s="24">
        <v>37</v>
      </c>
      <c r="BD164" s="24">
        <v>31.395</v>
      </c>
    </row>
    <row r="165" spans="52:56" x14ac:dyDescent="0.25">
      <c r="AZ165" s="24">
        <v>162</v>
      </c>
      <c r="BA165" s="24">
        <v>0.15714160180604103</v>
      </c>
      <c r="BB165" s="24">
        <v>1</v>
      </c>
      <c r="BC165" s="24">
        <v>38</v>
      </c>
      <c r="BD165" s="24">
        <v>31.59</v>
      </c>
    </row>
    <row r="166" spans="52:56" x14ac:dyDescent="0.25">
      <c r="AZ166" s="24">
        <v>163</v>
      </c>
      <c r="BA166" s="24">
        <v>0.15630865462129281</v>
      </c>
      <c r="BB166" s="24">
        <v>0</v>
      </c>
      <c r="BC166" s="24">
        <v>38</v>
      </c>
      <c r="BD166" s="24">
        <v>31.785</v>
      </c>
    </row>
    <row r="167" spans="52:56" x14ac:dyDescent="0.25">
      <c r="AZ167" s="24">
        <v>164</v>
      </c>
      <c r="BA167" s="24">
        <v>0.15630865462129281</v>
      </c>
      <c r="BB167" s="24">
        <v>0</v>
      </c>
      <c r="BC167" s="24">
        <v>38</v>
      </c>
      <c r="BD167" s="24">
        <v>31.98</v>
      </c>
    </row>
    <row r="168" spans="52:56" x14ac:dyDescent="0.25">
      <c r="AZ168" s="24">
        <v>165</v>
      </c>
      <c r="BA168" s="24">
        <v>0.15598869290864145</v>
      </c>
      <c r="BB168" s="24">
        <v>0</v>
      </c>
      <c r="BC168" s="24">
        <v>38</v>
      </c>
      <c r="BD168" s="24">
        <v>32.175000000000004</v>
      </c>
    </row>
    <row r="169" spans="52:56" x14ac:dyDescent="0.25">
      <c r="AZ169" s="24">
        <v>166</v>
      </c>
      <c r="BA169" s="24">
        <v>0.15383138937972815</v>
      </c>
      <c r="BB169" s="24">
        <v>0</v>
      </c>
      <c r="BC169" s="24">
        <v>38</v>
      </c>
      <c r="BD169" s="24">
        <v>32.370000000000005</v>
      </c>
    </row>
    <row r="170" spans="52:56" x14ac:dyDescent="0.25">
      <c r="AZ170" s="24">
        <v>167</v>
      </c>
      <c r="BA170" s="24">
        <v>0.15301280302132639</v>
      </c>
      <c r="BB170" s="24">
        <v>0</v>
      </c>
      <c r="BC170" s="24">
        <v>38</v>
      </c>
      <c r="BD170" s="24">
        <v>32.564999999999998</v>
      </c>
    </row>
    <row r="171" spans="52:56" x14ac:dyDescent="0.25">
      <c r="AZ171" s="24">
        <v>168</v>
      </c>
      <c r="BA171" s="24">
        <v>0.15219778913089038</v>
      </c>
      <c r="BB171" s="24">
        <v>0</v>
      </c>
      <c r="BC171" s="24">
        <v>38</v>
      </c>
      <c r="BD171" s="24">
        <v>32.76</v>
      </c>
    </row>
    <row r="172" spans="52:56" x14ac:dyDescent="0.25">
      <c r="AZ172" s="24">
        <v>169</v>
      </c>
      <c r="BA172" s="24">
        <v>0.15138634045371038</v>
      </c>
      <c r="BB172" s="24">
        <v>0</v>
      </c>
      <c r="BC172" s="24">
        <v>38</v>
      </c>
      <c r="BD172" s="24">
        <v>32.954999999999998</v>
      </c>
    </row>
    <row r="173" spans="52:56" x14ac:dyDescent="0.25">
      <c r="AZ173" s="24">
        <v>170</v>
      </c>
      <c r="BA173" s="24">
        <v>0.1505784496574139</v>
      </c>
      <c r="BB173" s="24">
        <v>0</v>
      </c>
      <c r="BC173" s="24">
        <v>38</v>
      </c>
      <c r="BD173" s="24">
        <v>33.15</v>
      </c>
    </row>
    <row r="174" spans="52:56" x14ac:dyDescent="0.25">
      <c r="AZ174" s="24">
        <v>171</v>
      </c>
      <c r="BA174" s="24">
        <v>0.14977410933308413</v>
      </c>
      <c r="BB174" s="24">
        <v>0</v>
      </c>
      <c r="BC174" s="24">
        <v>38</v>
      </c>
      <c r="BD174" s="24">
        <v>33.344999999999999</v>
      </c>
    </row>
    <row r="175" spans="52:56" x14ac:dyDescent="0.25">
      <c r="AZ175" s="24">
        <v>172</v>
      </c>
      <c r="BA175" s="24">
        <v>0.14897331199637348</v>
      </c>
      <c r="BB175" s="24">
        <v>0</v>
      </c>
      <c r="BC175" s="24">
        <v>38</v>
      </c>
      <c r="BD175" s="24">
        <v>33.54</v>
      </c>
    </row>
    <row r="176" spans="52:56" x14ac:dyDescent="0.25">
      <c r="AZ176" s="24">
        <v>173</v>
      </c>
      <c r="BA176" s="24">
        <v>0.14659210196028538</v>
      </c>
      <c r="BB176" s="24">
        <v>0</v>
      </c>
      <c r="BC176" s="24">
        <v>38</v>
      </c>
      <c r="BD176" s="24">
        <v>33.734999999999999</v>
      </c>
    </row>
    <row r="177" spans="52:56" x14ac:dyDescent="0.25">
      <c r="AZ177" s="24">
        <v>174</v>
      </c>
      <c r="BA177" s="24">
        <v>0.14424250236698524</v>
      </c>
      <c r="BB177" s="24">
        <v>0</v>
      </c>
      <c r="BC177" s="24">
        <v>38</v>
      </c>
      <c r="BD177" s="24">
        <v>33.93</v>
      </c>
    </row>
    <row r="178" spans="52:56" x14ac:dyDescent="0.25">
      <c r="AZ178" s="24">
        <v>175</v>
      </c>
      <c r="BA178" s="24">
        <v>0.14424250236698524</v>
      </c>
      <c r="BB178" s="24">
        <v>1</v>
      </c>
      <c r="BC178" s="24">
        <v>39</v>
      </c>
      <c r="BD178" s="24">
        <v>34.125</v>
      </c>
    </row>
    <row r="179" spans="52:56" x14ac:dyDescent="0.25">
      <c r="AZ179" s="24">
        <v>176</v>
      </c>
      <c r="BA179" s="24">
        <v>0.14316815580853956</v>
      </c>
      <c r="BB179" s="24">
        <v>0</v>
      </c>
      <c r="BC179" s="24">
        <v>39</v>
      </c>
      <c r="BD179" s="24">
        <v>34.32</v>
      </c>
    </row>
    <row r="180" spans="52:56" x14ac:dyDescent="0.25">
      <c r="AZ180" s="24">
        <v>177</v>
      </c>
      <c r="BA180" s="24">
        <v>0.14316815580853956</v>
      </c>
      <c r="BB180" s="24">
        <v>0</v>
      </c>
      <c r="BC180" s="24">
        <v>39</v>
      </c>
      <c r="BD180" s="24">
        <v>34.515000000000001</v>
      </c>
    </row>
    <row r="181" spans="52:56" x14ac:dyDescent="0.25">
      <c r="AZ181" s="24">
        <v>178</v>
      </c>
      <c r="BA181" s="24">
        <v>0.13888182263795479</v>
      </c>
      <c r="BB181" s="24">
        <v>0</v>
      </c>
      <c r="BC181" s="24">
        <v>39</v>
      </c>
      <c r="BD181" s="24">
        <v>34.71</v>
      </c>
    </row>
    <row r="182" spans="52:56" x14ac:dyDescent="0.25">
      <c r="AZ182" s="24">
        <v>179</v>
      </c>
      <c r="BA182" s="24">
        <v>0.13888182263795479</v>
      </c>
      <c r="BB182" s="24">
        <v>0</v>
      </c>
      <c r="BC182" s="24">
        <v>39</v>
      </c>
      <c r="BD182" s="24">
        <v>34.905000000000001</v>
      </c>
    </row>
    <row r="183" spans="52:56" x14ac:dyDescent="0.25">
      <c r="AZ183" s="24">
        <v>180</v>
      </c>
      <c r="BA183" s="24">
        <v>0.13738120305926424</v>
      </c>
      <c r="BB183" s="24">
        <v>0</v>
      </c>
      <c r="BC183" s="24">
        <v>39</v>
      </c>
      <c r="BD183" s="24">
        <v>35.1</v>
      </c>
    </row>
    <row r="184" spans="52:56" x14ac:dyDescent="0.25">
      <c r="AZ184" s="25">
        <v>181</v>
      </c>
      <c r="BA184" s="25">
        <v>0.13413858005385473</v>
      </c>
      <c r="BB184" s="25">
        <v>0</v>
      </c>
      <c r="BC184" s="25">
        <v>39</v>
      </c>
      <c r="BD184" s="25">
        <v>35.295000000000002</v>
      </c>
    </row>
    <row r="185" spans="52:56" x14ac:dyDescent="0.25">
      <c r="AZ185" s="25">
        <v>182</v>
      </c>
      <c r="BA185" s="25">
        <v>0.13413858005385473</v>
      </c>
      <c r="BB185" s="25">
        <v>0</v>
      </c>
      <c r="BC185" s="25">
        <v>39</v>
      </c>
      <c r="BD185" s="25">
        <v>35.49</v>
      </c>
    </row>
    <row r="186" spans="52:56" x14ac:dyDescent="0.25">
      <c r="AZ186" s="25">
        <v>183</v>
      </c>
      <c r="BA186" s="25">
        <v>0.12838982215856343</v>
      </c>
      <c r="BB186" s="25">
        <v>0</v>
      </c>
      <c r="BC186" s="25">
        <v>39</v>
      </c>
      <c r="BD186" s="25">
        <v>35.685000000000002</v>
      </c>
    </row>
    <row r="187" spans="52:56" x14ac:dyDescent="0.25">
      <c r="AZ187" s="25">
        <v>184</v>
      </c>
      <c r="BA187" s="25">
        <v>0.12768618941620904</v>
      </c>
      <c r="BB187" s="25">
        <v>0</v>
      </c>
      <c r="BC187" s="25">
        <v>39</v>
      </c>
      <c r="BD187" s="25">
        <v>35.880000000000003</v>
      </c>
    </row>
    <row r="188" spans="52:56" x14ac:dyDescent="0.25">
      <c r="AZ188" s="25">
        <v>185</v>
      </c>
      <c r="BA188" s="25">
        <v>0.12768618941620904</v>
      </c>
      <c r="BB188" s="25">
        <v>0</v>
      </c>
      <c r="BC188" s="25">
        <v>39</v>
      </c>
      <c r="BD188" s="25">
        <v>36.075000000000003</v>
      </c>
    </row>
    <row r="189" spans="52:56" x14ac:dyDescent="0.25">
      <c r="AZ189" s="25">
        <v>186</v>
      </c>
      <c r="BA189" s="25">
        <v>0.12628879786244532</v>
      </c>
      <c r="BB189" s="25">
        <v>0</v>
      </c>
      <c r="BC189" s="25">
        <v>39</v>
      </c>
      <c r="BD189" s="25">
        <v>36.270000000000003</v>
      </c>
    </row>
    <row r="190" spans="52:56" x14ac:dyDescent="0.25">
      <c r="AZ190" s="25">
        <v>187</v>
      </c>
      <c r="BA190" s="25">
        <v>0.125595020466097</v>
      </c>
      <c r="BB190" s="25">
        <v>0</v>
      </c>
      <c r="BC190" s="25">
        <v>39</v>
      </c>
      <c r="BD190" s="25">
        <v>36.465000000000003</v>
      </c>
    </row>
    <row r="191" spans="52:56" x14ac:dyDescent="0.25">
      <c r="AZ191" s="25">
        <v>188</v>
      </c>
      <c r="BA191" s="25">
        <v>0.125595020466097</v>
      </c>
      <c r="BB191" s="25">
        <v>0</v>
      </c>
      <c r="BC191" s="25">
        <v>39</v>
      </c>
      <c r="BD191" s="25">
        <v>36.660000000000004</v>
      </c>
    </row>
    <row r="192" spans="52:56" x14ac:dyDescent="0.25">
      <c r="AZ192" s="25">
        <v>189</v>
      </c>
      <c r="BA192" s="25">
        <v>0.12421725565443605</v>
      </c>
      <c r="BB192" s="25">
        <v>0</v>
      </c>
      <c r="BC192" s="25">
        <v>39</v>
      </c>
      <c r="BD192" s="25">
        <v>36.855000000000004</v>
      </c>
    </row>
    <row r="193" spans="52:56" x14ac:dyDescent="0.25">
      <c r="AZ193" s="25">
        <v>190</v>
      </c>
      <c r="BA193" s="25">
        <v>0.12353324940393745</v>
      </c>
      <c r="BB193" s="25">
        <v>0</v>
      </c>
      <c r="BC193" s="25">
        <v>39</v>
      </c>
      <c r="BD193" s="25">
        <v>37.050000000000004</v>
      </c>
    </row>
    <row r="194" spans="52:56" x14ac:dyDescent="0.25">
      <c r="AZ194" s="25">
        <v>191</v>
      </c>
      <c r="BA194" s="25">
        <v>0.12150062143513121</v>
      </c>
      <c r="BB194" s="25">
        <v>0</v>
      </c>
      <c r="BC194" s="25">
        <v>39</v>
      </c>
      <c r="BD194" s="25">
        <v>37.245000000000005</v>
      </c>
    </row>
    <row r="195" spans="52:56" x14ac:dyDescent="0.25">
      <c r="AZ195" s="25">
        <v>192</v>
      </c>
      <c r="BA195" s="25">
        <v>0.11949687864632154</v>
      </c>
      <c r="BB195" s="25">
        <v>0</v>
      </c>
      <c r="BC195" s="25">
        <v>39</v>
      </c>
      <c r="BD195" s="25">
        <v>37.44</v>
      </c>
    </row>
    <row r="196" spans="52:56" x14ac:dyDescent="0.25">
      <c r="AZ196" s="25">
        <v>193</v>
      </c>
      <c r="BA196" s="25">
        <v>0.11843025454698952</v>
      </c>
      <c r="BB196" s="25">
        <v>0</v>
      </c>
      <c r="BC196" s="25">
        <v>39</v>
      </c>
      <c r="BD196" s="25">
        <v>37.634999999999998</v>
      </c>
    </row>
    <row r="197" spans="52:56" x14ac:dyDescent="0.25">
      <c r="AZ197" s="25">
        <v>194</v>
      </c>
      <c r="BA197" s="25">
        <v>0.11557500266312125</v>
      </c>
      <c r="BB197" s="25">
        <v>0</v>
      </c>
      <c r="BC197" s="25">
        <v>39</v>
      </c>
      <c r="BD197" s="25">
        <v>37.83</v>
      </c>
    </row>
    <row r="198" spans="52:56" x14ac:dyDescent="0.25">
      <c r="AZ198" s="25">
        <v>195</v>
      </c>
      <c r="BA198" s="25">
        <v>0.11390118829925659</v>
      </c>
      <c r="BB198" s="25">
        <v>0</v>
      </c>
      <c r="BC198" s="25">
        <v>39</v>
      </c>
      <c r="BD198" s="25">
        <v>38.024999999999999</v>
      </c>
    </row>
    <row r="199" spans="52:56" x14ac:dyDescent="0.25">
      <c r="AZ199" s="25">
        <v>196</v>
      </c>
      <c r="BA199" s="25">
        <v>0.11326664100479339</v>
      </c>
      <c r="BB199" s="25">
        <v>0</v>
      </c>
      <c r="BC199" s="25">
        <v>39</v>
      </c>
      <c r="BD199" s="25">
        <v>38.22</v>
      </c>
    </row>
    <row r="200" spans="52:56" x14ac:dyDescent="0.25">
      <c r="AZ200" s="25">
        <v>197</v>
      </c>
      <c r="BA200" s="25">
        <v>0.11114136226475514</v>
      </c>
      <c r="BB200" s="25">
        <v>0</v>
      </c>
      <c r="BC200" s="25">
        <v>39</v>
      </c>
      <c r="BD200" s="25">
        <v>38.414999999999999</v>
      </c>
    </row>
    <row r="201" spans="52:56" x14ac:dyDescent="0.25">
      <c r="AZ201" s="25">
        <v>198</v>
      </c>
      <c r="BA201" s="25">
        <v>0.10867521232278439</v>
      </c>
      <c r="BB201" s="25">
        <v>0</v>
      </c>
      <c r="BC201" s="25">
        <v>39</v>
      </c>
      <c r="BD201" s="25">
        <v>38.61</v>
      </c>
    </row>
    <row r="202" spans="52:56" x14ac:dyDescent="0.25">
      <c r="AZ202" s="25">
        <v>199</v>
      </c>
      <c r="BA202" s="25">
        <v>0.1033015407446706</v>
      </c>
      <c r="BB202" s="25">
        <v>0</v>
      </c>
      <c r="BC202" s="25">
        <v>39</v>
      </c>
      <c r="BD202" s="25">
        <v>38.805</v>
      </c>
    </row>
    <row r="203" spans="52:56" x14ac:dyDescent="0.25">
      <c r="AZ203" s="25">
        <v>200</v>
      </c>
      <c r="BA203" s="25">
        <v>0.1033015407446706</v>
      </c>
      <c r="BB203" s="25">
        <v>0</v>
      </c>
      <c r="BC203" s="25">
        <v>39</v>
      </c>
      <c r="BD203" s="25">
        <v>39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'!$B$10:$B$10" display="Inputs"/>
    <hyperlink ref="D4" location="'LR_Output'!$B$43:$B$43" display="Prior Class Prob."/>
    <hyperlink ref="F4" location="'LR_Output'!$B$52:$B$52" display="Predictors"/>
    <hyperlink ref="H4" location="'LR_Output'!$B$63:$B$63" display="Regress. Model"/>
    <hyperlink ref="J4" location="'LR_Output'!$B$71:$B$71" display="Variable Selection"/>
    <hyperlink ref="B5" location="'LR_Output'!$B$82:$B$82" display="Train. Score Summary"/>
    <hyperlink ref="D5" location="'LR_Output'!$B$106:$B$106" display="Valid. Score Summary"/>
    <hyperlink ref="F5" location="'LR_TrainingLiftChart'!$B$10:$B$10" display="Training Lift Chart"/>
    <hyperlink ref="H5" location="'LR_ValidationLiftChart'!$B$10:$B$10" display="Validation Lift Chart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workbookViewId="0"/>
  </sheetViews>
  <sheetFormatPr defaultRowHeight="15.75" x14ac:dyDescent="0.25"/>
  <cols>
    <col min="1" max="1" width="21" bestFit="1" customWidth="1"/>
    <col min="2" max="2" width="16.75" bestFit="1" customWidth="1"/>
  </cols>
  <sheetData>
    <row r="1" spans="1:13" x14ac:dyDescent="0.25">
      <c r="M1" t="s">
        <v>166</v>
      </c>
    </row>
    <row r="2" spans="1:13" x14ac:dyDescent="0.25">
      <c r="A2" s="9" t="s">
        <v>24</v>
      </c>
      <c r="B2" s="7" t="s">
        <v>25</v>
      </c>
    </row>
    <row r="3" spans="1:13" x14ac:dyDescent="0.25">
      <c r="A3" s="9" t="s">
        <v>26</v>
      </c>
      <c r="B3" s="7" t="b">
        <v>1</v>
      </c>
    </row>
    <row r="4" spans="1:13" x14ac:dyDescent="0.25">
      <c r="A4" s="9" t="s">
        <v>27</v>
      </c>
      <c r="B4" s="7">
        <v>2</v>
      </c>
    </row>
    <row r="5" spans="1:13" x14ac:dyDescent="0.25">
      <c r="A5" s="9" t="s">
        <v>13</v>
      </c>
      <c r="B5" s="7" t="s">
        <v>28</v>
      </c>
      <c r="D5" s="7"/>
      <c r="E5" s="7" t="s">
        <v>0</v>
      </c>
      <c r="F5" s="7" t="s">
        <v>2</v>
      </c>
      <c r="G5" s="7" t="s">
        <v>3</v>
      </c>
    </row>
    <row r="6" spans="1:13" x14ac:dyDescent="0.25">
      <c r="A6" s="9" t="s">
        <v>29</v>
      </c>
      <c r="B6" s="7" t="s">
        <v>30</v>
      </c>
      <c r="D6" s="7"/>
      <c r="E6" s="7">
        <v>0</v>
      </c>
      <c r="F6" s="7">
        <v>1</v>
      </c>
      <c r="G6" s="7">
        <v>2</v>
      </c>
    </row>
    <row r="7" spans="1:13" x14ac:dyDescent="0.25">
      <c r="A7" s="9" t="s">
        <v>31</v>
      </c>
      <c r="B7" s="7" t="s">
        <v>32</v>
      </c>
      <c r="D7" s="7"/>
      <c r="E7" s="7" t="s">
        <v>33</v>
      </c>
      <c r="F7" s="7" t="s">
        <v>33</v>
      </c>
      <c r="G7" s="7" t="s">
        <v>34</v>
      </c>
    </row>
    <row r="8" spans="1:13" x14ac:dyDescent="0.25">
      <c r="A8" s="9" t="s">
        <v>35</v>
      </c>
      <c r="B8" s="7" t="s">
        <v>36</v>
      </c>
      <c r="D8" s="7"/>
      <c r="E8" s="7" t="s">
        <v>37</v>
      </c>
      <c r="F8" s="7" t="s">
        <v>37</v>
      </c>
      <c r="G8" s="7"/>
    </row>
    <row r="9" spans="1:13" x14ac:dyDescent="0.25">
      <c r="A9" s="9" t="s">
        <v>38</v>
      </c>
      <c r="B9" s="7" t="s">
        <v>39</v>
      </c>
      <c r="D9" s="7"/>
      <c r="E9" s="7" t="s">
        <v>0</v>
      </c>
      <c r="F9" s="7" t="s">
        <v>2</v>
      </c>
      <c r="G9" s="7"/>
    </row>
    <row r="10" spans="1:13" x14ac:dyDescent="0.25">
      <c r="A10" s="9" t="s">
        <v>40</v>
      </c>
      <c r="B10" s="7" t="s">
        <v>41</v>
      </c>
      <c r="D10" s="7">
        <v>0.36864993181131811</v>
      </c>
      <c r="E10" s="7">
        <v>-0.63024664025819721</v>
      </c>
      <c r="F10" s="7">
        <v>-8.7307192382969079E-3</v>
      </c>
    </row>
    <row r="11" spans="1:13" x14ac:dyDescent="0.25">
      <c r="A11" s="9" t="s">
        <v>42</v>
      </c>
      <c r="B11" s="7">
        <v>1</v>
      </c>
      <c r="E11" s="7">
        <v>0</v>
      </c>
      <c r="F11" s="7">
        <v>1</v>
      </c>
    </row>
    <row r="12" spans="1:13" x14ac:dyDescent="0.25">
      <c r="A12" s="9" t="s">
        <v>43</v>
      </c>
      <c r="B12" s="7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20"/>
  <sheetViews>
    <sheetView showGridLines="0" topLeftCell="A10" workbookViewId="0">
      <selection activeCell="B21" sqref="B21"/>
    </sheetView>
  </sheetViews>
  <sheetFormatPr defaultRowHeight="15.75" x14ac:dyDescent="0.25"/>
  <cols>
    <col min="10" max="10" width="12.625" bestFit="1" customWidth="1"/>
  </cols>
  <sheetData>
    <row r="2" spans="2:14" ht="18.75" x14ac:dyDescent="0.3">
      <c r="B2" s="5" t="s">
        <v>4</v>
      </c>
      <c r="N2" t="s">
        <v>165</v>
      </c>
    </row>
    <row r="4" spans="2:14" x14ac:dyDescent="0.25">
      <c r="B4" s="11" t="s">
        <v>5</v>
      </c>
      <c r="C4" s="12"/>
      <c r="D4" s="12"/>
      <c r="E4" s="12"/>
      <c r="F4" s="12"/>
      <c r="G4" s="13"/>
      <c r="J4" s="11" t="s">
        <v>6</v>
      </c>
      <c r="K4" s="12"/>
      <c r="L4" s="13"/>
    </row>
    <row r="5" spans="2:14" x14ac:dyDescent="0.25">
      <c r="B5" s="23" t="s">
        <v>21</v>
      </c>
      <c r="C5" s="19"/>
      <c r="D5" s="23" t="s">
        <v>22</v>
      </c>
      <c r="E5" s="19"/>
      <c r="F5" s="23" t="s">
        <v>23</v>
      </c>
      <c r="G5" s="19"/>
      <c r="J5" s="10" t="s">
        <v>7</v>
      </c>
      <c r="K5" s="10" t="s">
        <v>8</v>
      </c>
      <c r="L5" s="10" t="s">
        <v>9</v>
      </c>
    </row>
    <row r="6" spans="2:14" x14ac:dyDescent="0.25">
      <c r="J6" s="7">
        <v>0</v>
      </c>
      <c r="K6" s="7">
        <v>0</v>
      </c>
      <c r="L6" s="7">
        <v>0</v>
      </c>
    </row>
    <row r="9" spans="2:14" x14ac:dyDescent="0.25">
      <c r="B9" s="11" t="s">
        <v>10</v>
      </c>
      <c r="C9" s="12"/>
      <c r="D9" s="12"/>
      <c r="E9" s="12"/>
      <c r="F9" s="12"/>
      <c r="G9" s="13"/>
    </row>
    <row r="10" spans="2:14" x14ac:dyDescent="0.25">
      <c r="B10" s="14" t="s">
        <v>11</v>
      </c>
      <c r="C10" s="15"/>
      <c r="D10" s="16"/>
      <c r="E10" s="17" t="s">
        <v>12</v>
      </c>
      <c r="F10" s="18"/>
      <c r="G10" s="19"/>
    </row>
    <row r="11" spans="2:14" x14ac:dyDescent="0.25">
      <c r="B11" s="14" t="s">
        <v>13</v>
      </c>
      <c r="C11" s="15"/>
      <c r="D11" s="16"/>
      <c r="E11" s="7" t="s">
        <v>0</v>
      </c>
      <c r="F11" s="7" t="s">
        <v>2</v>
      </c>
      <c r="G11" s="7" t="s">
        <v>3</v>
      </c>
    </row>
    <row r="12" spans="2:14" x14ac:dyDescent="0.25">
      <c r="B12" s="14" t="s">
        <v>14</v>
      </c>
      <c r="C12" s="15"/>
      <c r="D12" s="16"/>
      <c r="E12" s="17" t="s">
        <v>15</v>
      </c>
      <c r="F12" s="18"/>
      <c r="G12" s="19"/>
    </row>
    <row r="13" spans="2:14" x14ac:dyDescent="0.25">
      <c r="B13" s="14" t="s">
        <v>16</v>
      </c>
      <c r="C13" s="15"/>
      <c r="D13" s="16"/>
      <c r="E13" s="20">
        <v>12345</v>
      </c>
      <c r="F13" s="21"/>
      <c r="G13" s="22"/>
      <c r="H13" s="6"/>
      <c r="I13" s="6"/>
    </row>
    <row r="14" spans="2:14" x14ac:dyDescent="0.25">
      <c r="B14" s="14" t="s">
        <v>17</v>
      </c>
      <c r="C14" s="15"/>
      <c r="D14" s="16"/>
      <c r="E14" s="20">
        <v>3</v>
      </c>
      <c r="F14" s="21"/>
      <c r="G14" s="22"/>
    </row>
    <row r="15" spans="2:14" x14ac:dyDescent="0.25">
      <c r="B15" s="14" t="s">
        <v>18</v>
      </c>
      <c r="C15" s="15"/>
      <c r="D15" s="16"/>
      <c r="E15" s="20">
        <v>300</v>
      </c>
      <c r="F15" s="21"/>
      <c r="G15" s="22"/>
    </row>
    <row r="16" spans="2:14" x14ac:dyDescent="0.25">
      <c r="B16" s="14" t="s">
        <v>19</v>
      </c>
      <c r="C16" s="15"/>
      <c r="D16" s="16"/>
      <c r="E16" s="20">
        <v>200</v>
      </c>
      <c r="F16" s="21"/>
      <c r="G16" s="22"/>
    </row>
    <row r="17" spans="2:7" x14ac:dyDescent="0.25">
      <c r="B17" s="14" t="s">
        <v>20</v>
      </c>
      <c r="C17" s="15"/>
      <c r="D17" s="16"/>
      <c r="E17" s="20">
        <v>0</v>
      </c>
      <c r="F17" s="21"/>
      <c r="G17" s="22"/>
    </row>
    <row r="19" spans="2:7" x14ac:dyDescent="0.25">
      <c r="B19" s="11" t="s">
        <v>13</v>
      </c>
      <c r="C19" s="12"/>
      <c r="D19" s="13"/>
    </row>
    <row r="20" spans="2:7" x14ac:dyDescent="0.25">
      <c r="B20" s="10" t="s">
        <v>0</v>
      </c>
      <c r="C20" s="10" t="s">
        <v>2</v>
      </c>
      <c r="D20" s="10" t="s">
        <v>3</v>
      </c>
    </row>
    <row r="21" spans="2:7" x14ac:dyDescent="0.25">
      <c r="B21" s="7">
        <v>3.78</v>
      </c>
      <c r="C21" s="7">
        <v>1</v>
      </c>
      <c r="D21" s="7">
        <v>0</v>
      </c>
    </row>
    <row r="22" spans="2:7" x14ac:dyDescent="0.25">
      <c r="B22" s="7">
        <v>3.22</v>
      </c>
      <c r="C22" s="7">
        <v>0</v>
      </c>
      <c r="D22" s="7">
        <v>0</v>
      </c>
    </row>
    <row r="23" spans="2:7" x14ac:dyDescent="0.25">
      <c r="B23" s="7">
        <v>2.69</v>
      </c>
      <c r="C23" s="7">
        <v>0</v>
      </c>
      <c r="D23" s="7">
        <v>1</v>
      </c>
    </row>
    <row r="24" spans="2:7" x14ac:dyDescent="0.25">
      <c r="B24" s="7">
        <v>3.12</v>
      </c>
      <c r="C24" s="7">
        <v>0</v>
      </c>
      <c r="D24" s="7">
        <v>0</v>
      </c>
    </row>
    <row r="25" spans="2:7" x14ac:dyDescent="0.25">
      <c r="B25" s="7">
        <v>2.96</v>
      </c>
      <c r="C25" s="7">
        <v>0</v>
      </c>
      <c r="D25" s="7">
        <v>1</v>
      </c>
    </row>
    <row r="26" spans="2:7" x14ac:dyDescent="0.25">
      <c r="B26" s="7">
        <v>2.4700000000000002</v>
      </c>
      <c r="C26" s="7">
        <v>0</v>
      </c>
      <c r="D26" s="7">
        <v>0</v>
      </c>
    </row>
    <row r="27" spans="2:7" x14ac:dyDescent="0.25">
      <c r="B27" s="7">
        <v>2.37</v>
      </c>
      <c r="C27" s="7">
        <v>0</v>
      </c>
      <c r="D27" s="7">
        <v>0</v>
      </c>
    </row>
    <row r="28" spans="2:7" x14ac:dyDescent="0.25">
      <c r="B28" s="7">
        <v>2.76</v>
      </c>
      <c r="C28" s="7">
        <v>0</v>
      </c>
      <c r="D28" s="7">
        <v>1</v>
      </c>
    </row>
    <row r="29" spans="2:7" x14ac:dyDescent="0.25">
      <c r="B29" s="7">
        <v>3.1</v>
      </c>
      <c r="C29" s="7">
        <v>0</v>
      </c>
      <c r="D29" s="7">
        <v>0</v>
      </c>
    </row>
    <row r="30" spans="2:7" x14ac:dyDescent="0.25">
      <c r="B30" s="7">
        <v>2.86</v>
      </c>
      <c r="C30" s="7">
        <v>0</v>
      </c>
      <c r="D30" s="7">
        <v>0</v>
      </c>
    </row>
    <row r="31" spans="2:7" x14ac:dyDescent="0.25">
      <c r="B31" s="7">
        <v>2.62</v>
      </c>
      <c r="C31" s="7">
        <v>0</v>
      </c>
      <c r="D31" s="7">
        <v>0</v>
      </c>
    </row>
    <row r="32" spans="2:7" x14ac:dyDescent="0.25">
      <c r="B32" s="7">
        <v>3.07</v>
      </c>
      <c r="C32" s="7">
        <v>0</v>
      </c>
      <c r="D32" s="7">
        <v>0</v>
      </c>
    </row>
    <row r="33" spans="2:4" x14ac:dyDescent="0.25">
      <c r="B33" s="7">
        <v>3.3</v>
      </c>
      <c r="C33" s="7">
        <v>0</v>
      </c>
      <c r="D33" s="7">
        <v>0</v>
      </c>
    </row>
    <row r="34" spans="2:4" x14ac:dyDescent="0.25">
      <c r="B34" s="7">
        <v>2.4300000000000002</v>
      </c>
      <c r="C34" s="7">
        <v>0</v>
      </c>
      <c r="D34" s="7">
        <v>1</v>
      </c>
    </row>
    <row r="35" spans="2:4" x14ac:dyDescent="0.25">
      <c r="B35" s="7">
        <v>2.98</v>
      </c>
      <c r="C35" s="7">
        <v>0</v>
      </c>
      <c r="D35" s="7">
        <v>1</v>
      </c>
    </row>
    <row r="36" spans="2:4" x14ac:dyDescent="0.25">
      <c r="B36" s="7">
        <v>2.63</v>
      </c>
      <c r="C36" s="7">
        <v>0</v>
      </c>
      <c r="D36" s="7">
        <v>0</v>
      </c>
    </row>
    <row r="37" spans="2:4" x14ac:dyDescent="0.25">
      <c r="B37" s="7">
        <v>2.6799999999999997</v>
      </c>
      <c r="C37" s="7">
        <v>0</v>
      </c>
      <c r="D37" s="7">
        <v>1</v>
      </c>
    </row>
    <row r="38" spans="2:4" x14ac:dyDescent="0.25">
      <c r="B38" s="7">
        <v>2.62</v>
      </c>
      <c r="C38" s="7">
        <v>0</v>
      </c>
      <c r="D38" s="7">
        <v>1</v>
      </c>
    </row>
    <row r="39" spans="2:4" x14ac:dyDescent="0.25">
      <c r="B39" s="7">
        <v>2.82</v>
      </c>
      <c r="C39" s="7">
        <v>1</v>
      </c>
      <c r="D39" s="7">
        <v>0</v>
      </c>
    </row>
    <row r="40" spans="2:4" x14ac:dyDescent="0.25">
      <c r="B40" s="7">
        <v>2.38</v>
      </c>
      <c r="C40" s="7">
        <v>0</v>
      </c>
      <c r="D40" s="7">
        <v>0</v>
      </c>
    </row>
    <row r="41" spans="2:4" x14ac:dyDescent="0.25">
      <c r="B41" s="7">
        <v>3.33</v>
      </c>
      <c r="C41" s="7">
        <v>0</v>
      </c>
      <c r="D41" s="7">
        <v>0</v>
      </c>
    </row>
    <row r="42" spans="2:4" x14ac:dyDescent="0.25">
      <c r="B42" s="7">
        <v>2.33</v>
      </c>
      <c r="C42" s="7">
        <v>0</v>
      </c>
      <c r="D42" s="7">
        <v>1</v>
      </c>
    </row>
    <row r="43" spans="2:4" x14ac:dyDescent="0.25">
      <c r="B43" s="7">
        <v>2.9299999999999997</v>
      </c>
      <c r="C43" s="7">
        <v>0</v>
      </c>
      <c r="D43" s="7">
        <v>1</v>
      </c>
    </row>
    <row r="44" spans="2:4" x14ac:dyDescent="0.25">
      <c r="B44" s="7">
        <v>3.06</v>
      </c>
      <c r="C44" s="7">
        <v>0</v>
      </c>
      <c r="D44" s="7">
        <v>0</v>
      </c>
    </row>
    <row r="45" spans="2:4" x14ac:dyDescent="0.25">
      <c r="B45" s="7">
        <v>3.98</v>
      </c>
      <c r="C45" s="7">
        <v>1</v>
      </c>
      <c r="D45" s="7">
        <v>0</v>
      </c>
    </row>
    <row r="46" spans="2:4" x14ac:dyDescent="0.25">
      <c r="B46" s="7">
        <v>2.88</v>
      </c>
      <c r="C46" s="7">
        <v>0</v>
      </c>
      <c r="D46" s="7">
        <v>0</v>
      </c>
    </row>
    <row r="47" spans="2:4" x14ac:dyDescent="0.25">
      <c r="B47" s="7">
        <v>3.12</v>
      </c>
      <c r="C47" s="7">
        <v>0</v>
      </c>
      <c r="D47" s="7">
        <v>0</v>
      </c>
    </row>
    <row r="48" spans="2:4" x14ac:dyDescent="0.25">
      <c r="B48" s="7">
        <v>3.12</v>
      </c>
      <c r="C48" s="7">
        <v>0</v>
      </c>
      <c r="D48" s="7">
        <v>0</v>
      </c>
    </row>
    <row r="49" spans="2:4" x14ac:dyDescent="0.25">
      <c r="B49" s="7">
        <v>3.38</v>
      </c>
      <c r="C49" s="7">
        <v>0</v>
      </c>
      <c r="D49" s="7">
        <v>0</v>
      </c>
    </row>
    <row r="50" spans="2:4" x14ac:dyDescent="0.25">
      <c r="B50" s="7">
        <v>3.29</v>
      </c>
      <c r="C50" s="7">
        <v>1</v>
      </c>
      <c r="D50" s="7">
        <v>0</v>
      </c>
    </row>
    <row r="51" spans="2:4" x14ac:dyDescent="0.25">
      <c r="B51" s="7">
        <v>3.49</v>
      </c>
      <c r="C51" s="7">
        <v>1</v>
      </c>
      <c r="D51" s="7">
        <v>0</v>
      </c>
    </row>
    <row r="52" spans="2:4" x14ac:dyDescent="0.25">
      <c r="B52" s="7">
        <v>2.89</v>
      </c>
      <c r="C52" s="7">
        <v>0</v>
      </c>
      <c r="D52" s="7">
        <v>0</v>
      </c>
    </row>
    <row r="53" spans="2:4" x14ac:dyDescent="0.25">
      <c r="B53" s="7">
        <v>2.77</v>
      </c>
      <c r="C53" s="7">
        <v>0</v>
      </c>
      <c r="D53" s="7">
        <v>0</v>
      </c>
    </row>
    <row r="54" spans="2:4" x14ac:dyDescent="0.25">
      <c r="B54" s="7">
        <v>2.61</v>
      </c>
      <c r="C54" s="7">
        <v>0</v>
      </c>
      <c r="D54" s="7">
        <v>1</v>
      </c>
    </row>
    <row r="55" spans="2:4" x14ac:dyDescent="0.25">
      <c r="B55" s="7">
        <v>3.1</v>
      </c>
      <c r="C55" s="7">
        <v>0</v>
      </c>
      <c r="D55" s="7">
        <v>0</v>
      </c>
    </row>
    <row r="56" spans="2:4" x14ac:dyDescent="0.25">
      <c r="B56" s="7">
        <v>3.06</v>
      </c>
      <c r="C56" s="7">
        <v>1</v>
      </c>
      <c r="D56" s="7">
        <v>0</v>
      </c>
    </row>
    <row r="57" spans="2:4" x14ac:dyDescent="0.25">
      <c r="B57" s="7">
        <v>2.61</v>
      </c>
      <c r="C57" s="7">
        <v>0</v>
      </c>
      <c r="D57" s="7">
        <v>1</v>
      </c>
    </row>
    <row r="58" spans="2:4" x14ac:dyDescent="0.25">
      <c r="B58" s="7">
        <v>2.91</v>
      </c>
      <c r="C58" s="7">
        <v>1</v>
      </c>
      <c r="D58" s="7">
        <v>0</v>
      </c>
    </row>
    <row r="59" spans="2:4" x14ac:dyDescent="0.25">
      <c r="B59" s="7">
        <v>2.4900000000000002</v>
      </c>
      <c r="C59" s="7">
        <v>0</v>
      </c>
      <c r="D59" s="7">
        <v>1</v>
      </c>
    </row>
    <row r="60" spans="2:4" x14ac:dyDescent="0.25">
      <c r="B60" s="7">
        <v>3.45</v>
      </c>
      <c r="C60" s="7">
        <v>0</v>
      </c>
      <c r="D60" s="7">
        <v>0</v>
      </c>
    </row>
    <row r="61" spans="2:4" x14ac:dyDescent="0.25">
      <c r="B61" s="7">
        <v>2.9299999999999997</v>
      </c>
      <c r="C61" s="7">
        <v>0</v>
      </c>
      <c r="D61" s="7">
        <v>1</v>
      </c>
    </row>
    <row r="62" spans="2:4" x14ac:dyDescent="0.25">
      <c r="B62" s="7">
        <v>2.2200000000000002</v>
      </c>
      <c r="C62" s="7">
        <v>0</v>
      </c>
      <c r="D62" s="7">
        <v>1</v>
      </c>
    </row>
    <row r="63" spans="2:4" x14ac:dyDescent="0.25">
      <c r="B63" s="7">
        <v>2.5099999999999998</v>
      </c>
      <c r="C63" s="7">
        <v>0</v>
      </c>
      <c r="D63" s="7">
        <v>1</v>
      </c>
    </row>
    <row r="64" spans="2:4" x14ac:dyDescent="0.25">
      <c r="B64" s="7">
        <v>3.71</v>
      </c>
      <c r="C64" s="7">
        <v>1</v>
      </c>
      <c r="D64" s="7">
        <v>0</v>
      </c>
    </row>
    <row r="65" spans="2:4" x14ac:dyDescent="0.25">
      <c r="B65" s="7">
        <v>2.11</v>
      </c>
      <c r="C65" s="7">
        <v>0</v>
      </c>
      <c r="D65" s="7">
        <v>1</v>
      </c>
    </row>
    <row r="66" spans="2:4" x14ac:dyDescent="0.25">
      <c r="B66" s="7">
        <v>2.87</v>
      </c>
      <c r="C66" s="7">
        <v>0</v>
      </c>
      <c r="D66" s="7">
        <v>0</v>
      </c>
    </row>
    <row r="67" spans="2:4" x14ac:dyDescent="0.25">
      <c r="B67" s="7">
        <v>2.64</v>
      </c>
      <c r="C67" s="7">
        <v>1</v>
      </c>
      <c r="D67" s="7">
        <v>0</v>
      </c>
    </row>
    <row r="68" spans="2:4" x14ac:dyDescent="0.25">
      <c r="B68" s="7">
        <v>3.04</v>
      </c>
      <c r="C68" s="7">
        <v>0</v>
      </c>
      <c r="D68" s="7">
        <v>0</v>
      </c>
    </row>
    <row r="69" spans="2:4" x14ac:dyDescent="0.25">
      <c r="B69" s="7">
        <v>2.54</v>
      </c>
      <c r="C69" s="7">
        <v>0</v>
      </c>
      <c r="D69" s="7">
        <v>1</v>
      </c>
    </row>
    <row r="70" spans="2:4" x14ac:dyDescent="0.25">
      <c r="B70" s="7">
        <v>2.57</v>
      </c>
      <c r="C70" s="7">
        <v>0</v>
      </c>
      <c r="D70" s="7">
        <v>0</v>
      </c>
    </row>
    <row r="71" spans="2:4" x14ac:dyDescent="0.25">
      <c r="B71" s="7">
        <v>3.85</v>
      </c>
      <c r="C71" s="7">
        <v>0</v>
      </c>
      <c r="D71" s="7">
        <v>0</v>
      </c>
    </row>
    <row r="72" spans="2:4" x14ac:dyDescent="0.25">
      <c r="B72" s="7">
        <v>2.5299999999999998</v>
      </c>
      <c r="C72" s="7">
        <v>0</v>
      </c>
      <c r="D72" s="7">
        <v>0</v>
      </c>
    </row>
    <row r="73" spans="2:4" x14ac:dyDescent="0.25">
      <c r="B73" s="7">
        <v>3.2</v>
      </c>
      <c r="C73" s="7">
        <v>1</v>
      </c>
      <c r="D73" s="7">
        <v>0</v>
      </c>
    </row>
    <row r="74" spans="2:4" x14ac:dyDescent="0.25">
      <c r="B74" s="7">
        <v>3.12</v>
      </c>
      <c r="C74" s="7">
        <v>0</v>
      </c>
      <c r="D74" s="7">
        <v>0</v>
      </c>
    </row>
    <row r="75" spans="2:4" x14ac:dyDescent="0.25">
      <c r="B75" s="7">
        <v>2.9</v>
      </c>
      <c r="C75" s="7">
        <v>0</v>
      </c>
      <c r="D75" s="7">
        <v>0</v>
      </c>
    </row>
    <row r="76" spans="2:4" x14ac:dyDescent="0.25">
      <c r="B76" s="7">
        <v>3.27</v>
      </c>
      <c r="C76" s="7">
        <v>0</v>
      </c>
      <c r="D76" s="7">
        <v>0</v>
      </c>
    </row>
    <row r="77" spans="2:4" x14ac:dyDescent="0.25">
      <c r="B77" s="7">
        <v>2.73</v>
      </c>
      <c r="C77" s="7">
        <v>0</v>
      </c>
      <c r="D77" s="7">
        <v>1</v>
      </c>
    </row>
    <row r="78" spans="2:4" x14ac:dyDescent="0.25">
      <c r="B78" s="7">
        <v>2.7</v>
      </c>
      <c r="C78" s="7">
        <v>0</v>
      </c>
      <c r="D78" s="7">
        <v>1</v>
      </c>
    </row>
    <row r="79" spans="2:4" x14ac:dyDescent="0.25">
      <c r="B79" s="7">
        <v>2.29</v>
      </c>
      <c r="C79" s="7">
        <v>0</v>
      </c>
      <c r="D79" s="7">
        <v>0</v>
      </c>
    </row>
    <row r="80" spans="2:4" x14ac:dyDescent="0.25">
      <c r="B80" s="7">
        <v>2.34</v>
      </c>
      <c r="C80" s="7">
        <v>0</v>
      </c>
      <c r="D80" s="7">
        <v>0</v>
      </c>
    </row>
    <row r="81" spans="2:4" x14ac:dyDescent="0.25">
      <c r="B81" s="7">
        <v>3.4</v>
      </c>
      <c r="C81" s="7">
        <v>0</v>
      </c>
      <c r="D81" s="7">
        <v>0</v>
      </c>
    </row>
    <row r="82" spans="2:4" x14ac:dyDescent="0.25">
      <c r="B82" s="7">
        <v>2.62</v>
      </c>
      <c r="C82" s="7">
        <v>0</v>
      </c>
      <c r="D82" s="7">
        <v>0</v>
      </c>
    </row>
    <row r="83" spans="2:4" x14ac:dyDescent="0.25">
      <c r="B83" s="7">
        <v>2.62</v>
      </c>
      <c r="C83" s="7">
        <v>1</v>
      </c>
      <c r="D83" s="7">
        <v>0</v>
      </c>
    </row>
    <row r="84" spans="2:4" x14ac:dyDescent="0.25">
      <c r="B84" s="7">
        <v>2.64</v>
      </c>
      <c r="C84" s="7">
        <v>0</v>
      </c>
      <c r="D84" s="7">
        <v>0</v>
      </c>
    </row>
    <row r="85" spans="2:4" x14ac:dyDescent="0.25">
      <c r="B85" s="7">
        <v>2.14</v>
      </c>
      <c r="C85" s="7">
        <v>0</v>
      </c>
      <c r="D85" s="7">
        <v>0</v>
      </c>
    </row>
    <row r="86" spans="2:4" x14ac:dyDescent="0.25">
      <c r="B86" s="7">
        <v>3.06</v>
      </c>
      <c r="C86" s="7">
        <v>0</v>
      </c>
      <c r="D86" s="7">
        <v>0</v>
      </c>
    </row>
    <row r="87" spans="2:4" x14ac:dyDescent="0.25">
      <c r="B87" s="7">
        <v>2.83</v>
      </c>
      <c r="C87" s="7">
        <v>0</v>
      </c>
      <c r="D87" s="7">
        <v>1</v>
      </c>
    </row>
    <row r="88" spans="2:4" x14ac:dyDescent="0.25">
      <c r="B88" s="7">
        <v>3.35</v>
      </c>
      <c r="C88" s="7">
        <v>1</v>
      </c>
      <c r="D88" s="7">
        <v>0</v>
      </c>
    </row>
    <row r="89" spans="2:4" x14ac:dyDescent="0.25">
      <c r="B89" s="7">
        <v>3.33</v>
      </c>
      <c r="C89" s="7">
        <v>0</v>
      </c>
      <c r="D89" s="7">
        <v>0</v>
      </c>
    </row>
    <row r="90" spans="2:4" x14ac:dyDescent="0.25">
      <c r="B90" s="7">
        <v>2.16</v>
      </c>
      <c r="C90" s="7">
        <v>0</v>
      </c>
      <c r="D90" s="7">
        <v>0</v>
      </c>
    </row>
    <row r="91" spans="2:4" x14ac:dyDescent="0.25">
      <c r="B91" s="7">
        <v>2.4</v>
      </c>
      <c r="C91" s="7">
        <v>0</v>
      </c>
      <c r="D91" s="7">
        <v>0</v>
      </c>
    </row>
    <row r="92" spans="2:4" x14ac:dyDescent="0.25">
      <c r="B92" s="7">
        <v>2.5099999999999998</v>
      </c>
      <c r="C92" s="7">
        <v>0</v>
      </c>
      <c r="D92" s="7">
        <v>0</v>
      </c>
    </row>
    <row r="93" spans="2:4" x14ac:dyDescent="0.25">
      <c r="B93" s="7">
        <v>2.86</v>
      </c>
      <c r="C93" s="7">
        <v>1</v>
      </c>
      <c r="D93" s="7">
        <v>0</v>
      </c>
    </row>
    <row r="94" spans="2:4" x14ac:dyDescent="0.25">
      <c r="B94" s="7">
        <v>3.12</v>
      </c>
      <c r="C94" s="7">
        <v>0</v>
      </c>
      <c r="D94" s="7">
        <v>0</v>
      </c>
    </row>
    <row r="95" spans="2:4" x14ac:dyDescent="0.25">
      <c r="B95" s="7">
        <v>3.38</v>
      </c>
      <c r="C95" s="7">
        <v>1</v>
      </c>
      <c r="D95" s="7">
        <v>0</v>
      </c>
    </row>
    <row r="96" spans="2:4" x14ac:dyDescent="0.25">
      <c r="B96" s="7">
        <v>2.82</v>
      </c>
      <c r="C96" s="7">
        <v>1</v>
      </c>
      <c r="D96" s="7">
        <v>0</v>
      </c>
    </row>
    <row r="97" spans="2:4" x14ac:dyDescent="0.25">
      <c r="B97" s="7">
        <v>3.04</v>
      </c>
      <c r="C97" s="7">
        <v>0</v>
      </c>
      <c r="D97" s="7">
        <v>0</v>
      </c>
    </row>
    <row r="98" spans="2:4" x14ac:dyDescent="0.25">
      <c r="B98" s="7">
        <v>2.78</v>
      </c>
      <c r="C98" s="7">
        <v>0</v>
      </c>
      <c r="D98" s="7">
        <v>0</v>
      </c>
    </row>
    <row r="99" spans="2:4" x14ac:dyDescent="0.25">
      <c r="B99" s="7">
        <v>2.74</v>
      </c>
      <c r="C99" s="7">
        <v>0</v>
      </c>
      <c r="D99" s="7">
        <v>0</v>
      </c>
    </row>
    <row r="100" spans="2:4" x14ac:dyDescent="0.25">
      <c r="B100" s="7">
        <v>2.02</v>
      </c>
      <c r="C100" s="7">
        <v>0</v>
      </c>
      <c r="D100" s="7">
        <v>0</v>
      </c>
    </row>
    <row r="101" spans="2:4" x14ac:dyDescent="0.25">
      <c r="B101" s="7">
        <v>2.56</v>
      </c>
      <c r="C101" s="7">
        <v>0</v>
      </c>
      <c r="D101" s="7">
        <v>0</v>
      </c>
    </row>
    <row r="102" spans="2:4" x14ac:dyDescent="0.25">
      <c r="B102" s="7">
        <v>3.48</v>
      </c>
      <c r="C102" s="7">
        <v>0</v>
      </c>
      <c r="D102" s="7">
        <v>0</v>
      </c>
    </row>
    <row r="103" spans="2:4" x14ac:dyDescent="0.25">
      <c r="B103" s="7">
        <v>2.6399999999999997</v>
      </c>
      <c r="C103" s="7">
        <v>0</v>
      </c>
      <c r="D103" s="7">
        <v>1</v>
      </c>
    </row>
    <row r="104" spans="2:4" x14ac:dyDescent="0.25">
      <c r="B104" s="7">
        <v>2.63</v>
      </c>
      <c r="C104" s="7">
        <v>0</v>
      </c>
      <c r="D104" s="7">
        <v>0</v>
      </c>
    </row>
    <row r="105" spans="2:4" x14ac:dyDescent="0.25">
      <c r="B105" s="7">
        <v>2.11</v>
      </c>
      <c r="C105" s="7">
        <v>0</v>
      </c>
      <c r="D105" s="7">
        <v>0</v>
      </c>
    </row>
    <row r="106" spans="2:4" x14ac:dyDescent="0.25">
      <c r="B106" s="7">
        <v>3.03</v>
      </c>
      <c r="C106" s="7">
        <v>0</v>
      </c>
      <c r="D106" s="7">
        <v>0</v>
      </c>
    </row>
    <row r="107" spans="2:4" x14ac:dyDescent="0.25">
      <c r="B107" s="7">
        <v>2.33</v>
      </c>
      <c r="C107" s="7">
        <v>0</v>
      </c>
      <c r="D107" s="7">
        <v>0</v>
      </c>
    </row>
    <row r="108" spans="2:4" x14ac:dyDescent="0.25">
      <c r="B108" s="7">
        <v>2.0099999999999998</v>
      </c>
      <c r="C108" s="7">
        <v>0</v>
      </c>
      <c r="D108" s="7">
        <v>0</v>
      </c>
    </row>
    <row r="109" spans="2:4" x14ac:dyDescent="0.25">
      <c r="B109" s="7">
        <v>2.94</v>
      </c>
      <c r="C109" s="7">
        <v>0</v>
      </c>
      <c r="D109" s="7">
        <v>1</v>
      </c>
    </row>
    <row r="110" spans="2:4" x14ac:dyDescent="0.25">
      <c r="B110" s="7">
        <v>3.81</v>
      </c>
      <c r="C110" s="7">
        <v>1</v>
      </c>
      <c r="D110" s="7">
        <v>0</v>
      </c>
    </row>
    <row r="111" spans="2:4" x14ac:dyDescent="0.25">
      <c r="B111" s="7">
        <v>2.68</v>
      </c>
      <c r="C111" s="7">
        <v>0</v>
      </c>
      <c r="D111" s="7">
        <v>0</v>
      </c>
    </row>
    <row r="112" spans="2:4" x14ac:dyDescent="0.25">
      <c r="B112" s="7">
        <v>2.58</v>
      </c>
      <c r="C112" s="7">
        <v>0</v>
      </c>
      <c r="D112" s="7">
        <v>0</v>
      </c>
    </row>
    <row r="113" spans="2:4" x14ac:dyDescent="0.25">
      <c r="B113" s="7">
        <v>2.7</v>
      </c>
      <c r="C113" s="7">
        <v>1</v>
      </c>
      <c r="D113" s="7">
        <v>0</v>
      </c>
    </row>
    <row r="114" spans="2:4" x14ac:dyDescent="0.25">
      <c r="B114" s="7">
        <v>2.75</v>
      </c>
      <c r="C114" s="7">
        <v>0</v>
      </c>
      <c r="D114" s="7">
        <v>1</v>
      </c>
    </row>
    <row r="115" spans="2:4" x14ac:dyDescent="0.25">
      <c r="B115" s="7">
        <v>2.5299999999999998</v>
      </c>
      <c r="C115" s="7">
        <v>0</v>
      </c>
      <c r="D115" s="7">
        <v>0</v>
      </c>
    </row>
    <row r="116" spans="2:4" x14ac:dyDescent="0.25">
      <c r="B116" s="7">
        <v>3.08</v>
      </c>
      <c r="C116" s="7">
        <v>0</v>
      </c>
      <c r="D116" s="7">
        <v>1</v>
      </c>
    </row>
    <row r="117" spans="2:4" x14ac:dyDescent="0.25">
      <c r="B117" s="7">
        <v>2.78</v>
      </c>
      <c r="C117" s="7">
        <v>0</v>
      </c>
      <c r="D117" s="7">
        <v>0</v>
      </c>
    </row>
    <row r="118" spans="2:4" x14ac:dyDescent="0.25">
      <c r="B118" s="7">
        <v>3.23</v>
      </c>
      <c r="C118" s="7">
        <v>0</v>
      </c>
      <c r="D118" s="7">
        <v>0</v>
      </c>
    </row>
    <row r="119" spans="2:4" x14ac:dyDescent="0.25">
      <c r="B119" s="7">
        <v>3.17</v>
      </c>
      <c r="C119" s="7">
        <v>0</v>
      </c>
      <c r="D119" s="7">
        <v>0</v>
      </c>
    </row>
    <row r="120" spans="2:4" x14ac:dyDescent="0.25">
      <c r="B120" s="7">
        <v>2.4</v>
      </c>
      <c r="C120" s="7">
        <v>0</v>
      </c>
      <c r="D120" s="7">
        <v>0</v>
      </c>
    </row>
    <row r="121" spans="2:4" x14ac:dyDescent="0.25">
      <c r="B121" s="7">
        <v>3.27</v>
      </c>
      <c r="C121" s="7">
        <v>1</v>
      </c>
      <c r="D121" s="7">
        <v>0</v>
      </c>
    </row>
    <row r="122" spans="2:4" x14ac:dyDescent="0.25">
      <c r="B122" s="7">
        <v>2.5700000000000003</v>
      </c>
      <c r="C122" s="7">
        <v>0</v>
      </c>
      <c r="D122" s="7">
        <v>1</v>
      </c>
    </row>
    <row r="123" spans="2:4" x14ac:dyDescent="0.25">
      <c r="B123" s="7">
        <v>3.64</v>
      </c>
      <c r="C123" s="7">
        <v>1</v>
      </c>
      <c r="D123" s="7">
        <v>0</v>
      </c>
    </row>
    <row r="124" spans="2:4" x14ac:dyDescent="0.25">
      <c r="B124" s="7">
        <v>3.03</v>
      </c>
      <c r="C124" s="7">
        <v>0</v>
      </c>
      <c r="D124" s="7">
        <v>0</v>
      </c>
    </row>
    <row r="125" spans="2:4" x14ac:dyDescent="0.25">
      <c r="B125" s="7">
        <v>2.77</v>
      </c>
      <c r="C125" s="7">
        <v>0</v>
      </c>
      <c r="D125" s="7">
        <v>1</v>
      </c>
    </row>
    <row r="126" spans="2:4" x14ac:dyDescent="0.25">
      <c r="B126" s="7">
        <v>2.8499999999999996</v>
      </c>
      <c r="C126" s="7">
        <v>0</v>
      </c>
      <c r="D126" s="7">
        <v>1</v>
      </c>
    </row>
    <row r="127" spans="2:4" x14ac:dyDescent="0.25">
      <c r="B127" s="7">
        <v>2.91</v>
      </c>
      <c r="C127" s="7">
        <v>0</v>
      </c>
      <c r="D127" s="7">
        <v>1</v>
      </c>
    </row>
    <row r="128" spans="2:4" x14ac:dyDescent="0.25">
      <c r="B128" s="7">
        <v>2.93</v>
      </c>
      <c r="C128" s="7">
        <v>0</v>
      </c>
      <c r="D128" s="7">
        <v>0</v>
      </c>
    </row>
    <row r="129" spans="2:4" x14ac:dyDescent="0.25">
      <c r="B129" s="7">
        <v>3.17</v>
      </c>
      <c r="C129" s="7">
        <v>0</v>
      </c>
      <c r="D129" s="7">
        <v>0</v>
      </c>
    </row>
    <row r="130" spans="2:4" x14ac:dyDescent="0.25">
      <c r="B130" s="7">
        <v>3.45</v>
      </c>
      <c r="C130" s="7">
        <v>0</v>
      </c>
      <c r="D130" s="7">
        <v>0</v>
      </c>
    </row>
    <row r="131" spans="2:4" x14ac:dyDescent="0.25">
      <c r="B131" s="7">
        <v>2.64</v>
      </c>
      <c r="C131" s="7">
        <v>1</v>
      </c>
      <c r="D131" s="7">
        <v>0</v>
      </c>
    </row>
    <row r="132" spans="2:4" x14ac:dyDescent="0.25">
      <c r="B132" s="7">
        <v>3.02</v>
      </c>
      <c r="C132" s="7">
        <v>0</v>
      </c>
      <c r="D132" s="7">
        <v>0</v>
      </c>
    </row>
    <row r="133" spans="2:4" x14ac:dyDescent="0.25">
      <c r="B133" s="7">
        <v>2.9</v>
      </c>
      <c r="C133" s="7">
        <v>1</v>
      </c>
      <c r="D133" s="7">
        <v>1</v>
      </c>
    </row>
    <row r="134" spans="2:4" x14ac:dyDescent="0.25">
      <c r="B134" s="7">
        <v>2.31</v>
      </c>
      <c r="C134" s="7">
        <v>0</v>
      </c>
      <c r="D134" s="7">
        <v>0</v>
      </c>
    </row>
    <row r="135" spans="2:4" x14ac:dyDescent="0.25">
      <c r="B135" s="7">
        <v>2.7</v>
      </c>
      <c r="C135" s="7">
        <v>0</v>
      </c>
      <c r="D135" s="7">
        <v>1</v>
      </c>
    </row>
    <row r="136" spans="2:4" x14ac:dyDescent="0.25">
      <c r="B136" s="7">
        <v>2.2400000000000002</v>
      </c>
      <c r="C136" s="7">
        <v>0</v>
      </c>
      <c r="D136" s="7">
        <v>0</v>
      </c>
    </row>
    <row r="137" spans="2:4" x14ac:dyDescent="0.25">
      <c r="B137" s="7">
        <v>3.08</v>
      </c>
      <c r="C137" s="7">
        <v>0</v>
      </c>
      <c r="D137" s="7">
        <v>0</v>
      </c>
    </row>
    <row r="138" spans="2:4" x14ac:dyDescent="0.25">
      <c r="B138" s="7">
        <v>3.12</v>
      </c>
      <c r="C138" s="7">
        <v>0</v>
      </c>
      <c r="D138" s="7">
        <v>0</v>
      </c>
    </row>
    <row r="139" spans="2:4" x14ac:dyDescent="0.25">
      <c r="B139" s="7">
        <v>2.59</v>
      </c>
      <c r="C139" s="7">
        <v>1</v>
      </c>
      <c r="D139" s="7">
        <v>0</v>
      </c>
    </row>
    <row r="140" spans="2:4" x14ac:dyDescent="0.25">
      <c r="B140" s="7">
        <v>2.86</v>
      </c>
      <c r="C140" s="7">
        <v>0</v>
      </c>
      <c r="D140" s="7">
        <v>0</v>
      </c>
    </row>
    <row r="141" spans="2:4" x14ac:dyDescent="0.25">
      <c r="B141" s="7">
        <v>2.7</v>
      </c>
      <c r="C141" s="7">
        <v>0</v>
      </c>
      <c r="D141" s="7">
        <v>0</v>
      </c>
    </row>
    <row r="142" spans="2:4" x14ac:dyDescent="0.25">
      <c r="B142" s="7">
        <v>3.78</v>
      </c>
      <c r="C142" s="7">
        <v>1</v>
      </c>
      <c r="D142" s="7">
        <v>0</v>
      </c>
    </row>
    <row r="143" spans="2:4" x14ac:dyDescent="0.25">
      <c r="B143" s="7">
        <v>3.4</v>
      </c>
      <c r="C143" s="7">
        <v>0</v>
      </c>
      <c r="D143" s="7">
        <v>0</v>
      </c>
    </row>
    <row r="144" spans="2:4" x14ac:dyDescent="0.25">
      <c r="B144" s="7">
        <v>3.46</v>
      </c>
      <c r="C144" s="7">
        <v>0</v>
      </c>
      <c r="D144" s="7">
        <v>0</v>
      </c>
    </row>
    <row r="145" spans="2:4" x14ac:dyDescent="0.25">
      <c r="B145" s="7">
        <v>2.77</v>
      </c>
      <c r="C145" s="7">
        <v>0</v>
      </c>
      <c r="D145" s="7">
        <v>0</v>
      </c>
    </row>
    <row r="146" spans="2:4" x14ac:dyDescent="0.25">
      <c r="B146" s="7">
        <v>2.11</v>
      </c>
      <c r="C146" s="7">
        <v>0</v>
      </c>
      <c r="D146" s="7">
        <v>0</v>
      </c>
    </row>
    <row r="147" spans="2:4" x14ac:dyDescent="0.25">
      <c r="B147" s="7">
        <v>2.86</v>
      </c>
      <c r="C147" s="7">
        <v>0</v>
      </c>
      <c r="D147" s="7">
        <v>0</v>
      </c>
    </row>
    <row r="148" spans="2:4" x14ac:dyDescent="0.25">
      <c r="B148" s="7">
        <v>2.33</v>
      </c>
      <c r="C148" s="7">
        <v>0</v>
      </c>
      <c r="D148" s="7">
        <v>0</v>
      </c>
    </row>
    <row r="149" spans="2:4" x14ac:dyDescent="0.25">
      <c r="B149" s="7">
        <v>3.64</v>
      </c>
      <c r="C149" s="7">
        <v>1</v>
      </c>
      <c r="D149" s="7">
        <v>0</v>
      </c>
    </row>
    <row r="150" spans="2:4" x14ac:dyDescent="0.25">
      <c r="B150" s="7">
        <v>3.07</v>
      </c>
      <c r="C150" s="7">
        <v>1</v>
      </c>
      <c r="D150" s="7">
        <v>0</v>
      </c>
    </row>
    <row r="151" spans="2:4" x14ac:dyDescent="0.25">
      <c r="B151" s="7">
        <v>3.23</v>
      </c>
      <c r="C151" s="7">
        <v>0</v>
      </c>
      <c r="D151" s="7">
        <v>0</v>
      </c>
    </row>
    <row r="152" spans="2:4" x14ac:dyDescent="0.25">
      <c r="B152" s="7">
        <v>2.63</v>
      </c>
      <c r="C152" s="7">
        <v>0</v>
      </c>
      <c r="D152" s="7">
        <v>0</v>
      </c>
    </row>
    <row r="153" spans="2:4" x14ac:dyDescent="0.25">
      <c r="B153" s="7">
        <v>2.41</v>
      </c>
      <c r="C153" s="7">
        <v>0</v>
      </c>
      <c r="D153" s="7">
        <v>0</v>
      </c>
    </row>
    <row r="154" spans="2:4" x14ac:dyDescent="0.25">
      <c r="B154" s="7">
        <v>3.5</v>
      </c>
      <c r="C154" s="7">
        <v>0</v>
      </c>
      <c r="D154" s="7">
        <v>0</v>
      </c>
    </row>
    <row r="155" spans="2:4" x14ac:dyDescent="0.25">
      <c r="B155" s="7">
        <v>3.42</v>
      </c>
      <c r="C155" s="7">
        <v>0</v>
      </c>
      <c r="D155" s="7">
        <v>0</v>
      </c>
    </row>
    <row r="156" spans="2:4" x14ac:dyDescent="0.25">
      <c r="B156" s="7">
        <v>2.69</v>
      </c>
      <c r="C156" s="7">
        <v>0</v>
      </c>
      <c r="D156" s="7">
        <v>1</v>
      </c>
    </row>
    <row r="157" spans="2:4" x14ac:dyDescent="0.25">
      <c r="B157" s="7">
        <v>2.99</v>
      </c>
      <c r="C157" s="7">
        <v>0</v>
      </c>
      <c r="D157" s="7">
        <v>0</v>
      </c>
    </row>
    <row r="158" spans="2:4" x14ac:dyDescent="0.25">
      <c r="B158" s="7">
        <v>3.23</v>
      </c>
      <c r="C158" s="7">
        <v>0</v>
      </c>
      <c r="D158" s="7">
        <v>0</v>
      </c>
    </row>
    <row r="159" spans="2:4" x14ac:dyDescent="0.25">
      <c r="B159" s="7">
        <v>2.63</v>
      </c>
      <c r="C159" s="7">
        <v>0</v>
      </c>
      <c r="D159" s="7">
        <v>0</v>
      </c>
    </row>
    <row r="160" spans="2:4" x14ac:dyDescent="0.25">
      <c r="B160" s="7">
        <v>2.79</v>
      </c>
      <c r="C160" s="7">
        <v>0</v>
      </c>
      <c r="D160" s="7">
        <v>0</v>
      </c>
    </row>
    <row r="161" spans="2:4" x14ac:dyDescent="0.25">
      <c r="B161" s="7">
        <v>2.17</v>
      </c>
      <c r="C161" s="7">
        <v>0</v>
      </c>
      <c r="D161" s="7">
        <v>0</v>
      </c>
    </row>
    <row r="162" spans="2:4" x14ac:dyDescent="0.25">
      <c r="B162" s="7">
        <v>2.6799999999999997</v>
      </c>
      <c r="C162" s="7">
        <v>0</v>
      </c>
      <c r="D162" s="7">
        <v>1</v>
      </c>
    </row>
    <row r="163" spans="2:4" x14ac:dyDescent="0.25">
      <c r="B163" s="7">
        <v>3.37</v>
      </c>
      <c r="C163" s="7">
        <v>0</v>
      </c>
      <c r="D163" s="7">
        <v>0</v>
      </c>
    </row>
    <row r="164" spans="2:4" x14ac:dyDescent="0.25">
      <c r="B164" s="7">
        <v>3.31</v>
      </c>
      <c r="C164" s="7">
        <v>0</v>
      </c>
      <c r="D164" s="7">
        <v>0</v>
      </c>
    </row>
    <row r="165" spans="2:4" x14ac:dyDescent="0.25">
      <c r="B165" s="7">
        <v>2.9299999999999997</v>
      </c>
      <c r="C165" s="7">
        <v>0</v>
      </c>
      <c r="D165" s="7">
        <v>1</v>
      </c>
    </row>
    <row r="166" spans="2:4" x14ac:dyDescent="0.25">
      <c r="B166" s="7">
        <v>2.93</v>
      </c>
      <c r="C166" s="7">
        <v>1</v>
      </c>
      <c r="D166" s="7">
        <v>0</v>
      </c>
    </row>
    <row r="167" spans="2:4" x14ac:dyDescent="0.25">
      <c r="B167" s="7">
        <v>2.17</v>
      </c>
      <c r="C167" s="7">
        <v>0</v>
      </c>
      <c r="D167" s="7">
        <v>0</v>
      </c>
    </row>
    <row r="168" spans="2:4" x14ac:dyDescent="0.25">
      <c r="B168" s="7">
        <v>2.2599999999999998</v>
      </c>
      <c r="C168" s="7">
        <v>0</v>
      </c>
      <c r="D168" s="7">
        <v>0</v>
      </c>
    </row>
    <row r="169" spans="2:4" x14ac:dyDescent="0.25">
      <c r="B169" s="7">
        <v>2.79</v>
      </c>
      <c r="C169" s="7">
        <v>0</v>
      </c>
      <c r="D169" s="7">
        <v>0</v>
      </c>
    </row>
    <row r="170" spans="2:4" x14ac:dyDescent="0.25">
      <c r="B170" s="7">
        <v>2.25</v>
      </c>
      <c r="C170" s="7">
        <v>0</v>
      </c>
      <c r="D170" s="7">
        <v>0</v>
      </c>
    </row>
    <row r="171" spans="2:4" x14ac:dyDescent="0.25">
      <c r="B171" s="7">
        <v>2.4700000000000002</v>
      </c>
      <c r="C171" s="7">
        <v>0</v>
      </c>
      <c r="D171" s="7">
        <v>0</v>
      </c>
    </row>
    <row r="172" spans="2:4" x14ac:dyDescent="0.25">
      <c r="B172" s="7">
        <v>2.88</v>
      </c>
      <c r="C172" s="7">
        <v>0</v>
      </c>
      <c r="D172" s="7">
        <v>0</v>
      </c>
    </row>
    <row r="173" spans="2:4" x14ac:dyDescent="0.25">
      <c r="B173" s="7">
        <v>2.79</v>
      </c>
      <c r="C173" s="7">
        <v>0</v>
      </c>
      <c r="D173" s="7">
        <v>1</v>
      </c>
    </row>
    <row r="174" spans="2:4" x14ac:dyDescent="0.25">
      <c r="B174" s="7">
        <v>3.19</v>
      </c>
      <c r="C174" s="7">
        <v>0</v>
      </c>
      <c r="D174" s="7">
        <v>0</v>
      </c>
    </row>
    <row r="175" spans="2:4" x14ac:dyDescent="0.25">
      <c r="B175" s="7">
        <v>2.66</v>
      </c>
      <c r="C175" s="7">
        <v>0</v>
      </c>
      <c r="D175" s="7">
        <v>0</v>
      </c>
    </row>
    <row r="176" spans="2:4" x14ac:dyDescent="0.25">
      <c r="B176" s="7">
        <v>2.19</v>
      </c>
      <c r="C176" s="7">
        <v>0</v>
      </c>
      <c r="D176" s="7">
        <v>0</v>
      </c>
    </row>
    <row r="177" spans="2:4" x14ac:dyDescent="0.25">
      <c r="B177" s="7">
        <v>2.13</v>
      </c>
      <c r="C177" s="7">
        <v>0</v>
      </c>
      <c r="D177" s="7">
        <v>0</v>
      </c>
    </row>
    <row r="178" spans="2:4" x14ac:dyDescent="0.25">
      <c r="B178" s="7">
        <v>3.15</v>
      </c>
      <c r="C178" s="7">
        <v>1</v>
      </c>
      <c r="D178" s="7">
        <v>1</v>
      </c>
    </row>
    <row r="179" spans="2:4" x14ac:dyDescent="0.25">
      <c r="B179" s="7">
        <v>2.41</v>
      </c>
      <c r="C179" s="7">
        <v>0</v>
      </c>
      <c r="D179" s="7">
        <v>0</v>
      </c>
    </row>
    <row r="180" spans="2:4" x14ac:dyDescent="0.25">
      <c r="B180" s="7">
        <v>2.84</v>
      </c>
      <c r="C180" s="7">
        <v>0</v>
      </c>
      <c r="D180" s="7">
        <v>0</v>
      </c>
    </row>
    <row r="181" spans="2:4" x14ac:dyDescent="0.25">
      <c r="B181" s="7">
        <v>2.85</v>
      </c>
      <c r="C181" s="7">
        <v>0</v>
      </c>
      <c r="D181" s="7">
        <v>0</v>
      </c>
    </row>
    <row r="182" spans="2:4" x14ac:dyDescent="0.25">
      <c r="B182" s="7">
        <v>3.0300000000000002</v>
      </c>
      <c r="C182" s="7">
        <v>0</v>
      </c>
      <c r="D182" s="7">
        <v>1</v>
      </c>
    </row>
    <row r="183" spans="2:4" x14ac:dyDescent="0.25">
      <c r="B183" s="7">
        <v>3.1</v>
      </c>
      <c r="C183" s="7">
        <v>0</v>
      </c>
      <c r="D183" s="7">
        <v>0</v>
      </c>
    </row>
    <row r="184" spans="2:4" x14ac:dyDescent="0.25">
      <c r="B184" s="7">
        <v>2.57</v>
      </c>
      <c r="C184" s="7">
        <v>0</v>
      </c>
      <c r="D184" s="7">
        <v>0</v>
      </c>
    </row>
    <row r="185" spans="2:4" x14ac:dyDescent="0.25">
      <c r="B185" s="7">
        <v>3.01</v>
      </c>
      <c r="C185" s="7">
        <v>0</v>
      </c>
      <c r="D185" s="7">
        <v>0</v>
      </c>
    </row>
    <row r="186" spans="2:4" x14ac:dyDescent="0.25">
      <c r="B186" s="7">
        <v>3.01</v>
      </c>
      <c r="C186" s="7">
        <v>1</v>
      </c>
      <c r="D186" s="7">
        <v>0</v>
      </c>
    </row>
    <row r="187" spans="2:4" x14ac:dyDescent="0.25">
      <c r="B187" s="7">
        <v>2.81</v>
      </c>
      <c r="C187" s="7">
        <v>0</v>
      </c>
      <c r="D187" s="7">
        <v>1</v>
      </c>
    </row>
    <row r="188" spans="2:4" x14ac:dyDescent="0.25">
      <c r="B188" s="7">
        <v>2.8200000000000003</v>
      </c>
      <c r="C188" s="7">
        <v>0</v>
      </c>
      <c r="D188" s="7">
        <v>1</v>
      </c>
    </row>
    <row r="189" spans="2:4" x14ac:dyDescent="0.25">
      <c r="B189" s="7">
        <v>3.02</v>
      </c>
      <c r="C189" s="7">
        <v>1</v>
      </c>
      <c r="D189" s="7">
        <v>0</v>
      </c>
    </row>
    <row r="190" spans="2:4" x14ac:dyDescent="0.25">
      <c r="B190" s="7">
        <v>2.46</v>
      </c>
      <c r="C190" s="7">
        <v>0</v>
      </c>
      <c r="D190" s="7">
        <v>0</v>
      </c>
    </row>
    <row r="191" spans="2:4" x14ac:dyDescent="0.25">
      <c r="B191" s="7">
        <v>2.63</v>
      </c>
      <c r="C191" s="7">
        <v>1</v>
      </c>
      <c r="D191" s="7">
        <v>0</v>
      </c>
    </row>
    <row r="192" spans="2:4" x14ac:dyDescent="0.25">
      <c r="B192" s="7">
        <v>2.96</v>
      </c>
      <c r="C192" s="7">
        <v>1</v>
      </c>
      <c r="D192" s="7">
        <v>1</v>
      </c>
    </row>
    <row r="193" spans="2:4" x14ac:dyDescent="0.25">
      <c r="B193" s="7">
        <v>2.57</v>
      </c>
      <c r="C193" s="7">
        <v>0</v>
      </c>
      <c r="D193" s="7">
        <v>0</v>
      </c>
    </row>
    <row r="194" spans="2:4" x14ac:dyDescent="0.25">
      <c r="B194" s="7">
        <v>2.2400000000000002</v>
      </c>
      <c r="C194" s="7">
        <v>0</v>
      </c>
      <c r="D194" s="7">
        <v>0</v>
      </c>
    </row>
    <row r="195" spans="2:4" x14ac:dyDescent="0.25">
      <c r="B195" s="7">
        <v>2.62</v>
      </c>
      <c r="C195" s="7">
        <v>0</v>
      </c>
      <c r="D195" s="7">
        <v>0</v>
      </c>
    </row>
    <row r="196" spans="2:4" x14ac:dyDescent="0.25">
      <c r="B196" s="7">
        <v>3.59</v>
      </c>
      <c r="C196" s="7">
        <v>1</v>
      </c>
      <c r="D196" s="7">
        <v>0</v>
      </c>
    </row>
    <row r="197" spans="2:4" x14ac:dyDescent="0.25">
      <c r="B197" s="7">
        <v>3.53</v>
      </c>
      <c r="C197" s="7">
        <v>1</v>
      </c>
      <c r="D197" s="7">
        <v>0</v>
      </c>
    </row>
    <row r="198" spans="2:4" x14ac:dyDescent="0.25">
      <c r="B198" s="7">
        <v>2.14</v>
      </c>
      <c r="C198" s="7">
        <v>0</v>
      </c>
      <c r="D198" s="7">
        <v>0</v>
      </c>
    </row>
    <row r="199" spans="2:4" x14ac:dyDescent="0.25">
      <c r="B199" s="7">
        <v>2.9</v>
      </c>
      <c r="C199" s="7">
        <v>0</v>
      </c>
      <c r="D199" s="7">
        <v>0</v>
      </c>
    </row>
    <row r="200" spans="2:4" x14ac:dyDescent="0.25">
      <c r="B200" s="7">
        <v>3.78</v>
      </c>
      <c r="C200" s="7">
        <v>1</v>
      </c>
      <c r="D200" s="7">
        <v>0</v>
      </c>
    </row>
    <row r="201" spans="2:4" x14ac:dyDescent="0.25">
      <c r="B201" s="7">
        <v>2.92</v>
      </c>
      <c r="C201" s="7">
        <v>0</v>
      </c>
      <c r="D201" s="7">
        <v>1</v>
      </c>
    </row>
    <row r="202" spans="2:4" x14ac:dyDescent="0.25">
      <c r="B202" s="7">
        <v>2.17</v>
      </c>
      <c r="C202" s="7">
        <v>0</v>
      </c>
      <c r="D202" s="7">
        <v>0</v>
      </c>
    </row>
    <row r="203" spans="2:4" x14ac:dyDescent="0.25">
      <c r="B203" s="7">
        <v>2.41</v>
      </c>
      <c r="C203" s="7">
        <v>0</v>
      </c>
      <c r="D203" s="7">
        <v>0</v>
      </c>
    </row>
    <row r="204" spans="2:4" x14ac:dyDescent="0.25">
      <c r="B204" s="7">
        <v>2.68</v>
      </c>
      <c r="C204" s="7">
        <v>1</v>
      </c>
      <c r="D204" s="7">
        <v>0</v>
      </c>
    </row>
    <row r="205" spans="2:4" x14ac:dyDescent="0.25">
      <c r="B205" s="7">
        <v>2.19</v>
      </c>
      <c r="C205" s="7">
        <v>0</v>
      </c>
      <c r="D205" s="7">
        <v>0</v>
      </c>
    </row>
    <row r="206" spans="2:4" x14ac:dyDescent="0.25">
      <c r="B206" s="7">
        <v>2.46</v>
      </c>
      <c r="C206" s="7">
        <v>0</v>
      </c>
      <c r="D206" s="7">
        <v>0</v>
      </c>
    </row>
    <row r="207" spans="2:4" x14ac:dyDescent="0.25">
      <c r="B207" s="7">
        <v>3.1</v>
      </c>
      <c r="C207" s="7">
        <v>0</v>
      </c>
      <c r="D207" s="7">
        <v>0</v>
      </c>
    </row>
    <row r="208" spans="2:4" x14ac:dyDescent="0.25">
      <c r="B208" s="7">
        <v>2.8200000000000003</v>
      </c>
      <c r="C208" s="7">
        <v>1</v>
      </c>
      <c r="D208" s="7">
        <v>1</v>
      </c>
    </row>
    <row r="209" spans="2:4" x14ac:dyDescent="0.25">
      <c r="B209" s="7">
        <v>2.29</v>
      </c>
      <c r="C209" s="7">
        <v>0</v>
      </c>
      <c r="D209" s="7">
        <v>0</v>
      </c>
    </row>
    <row r="210" spans="2:4" x14ac:dyDescent="0.25">
      <c r="B210" s="7">
        <v>2.72</v>
      </c>
      <c r="C210" s="7">
        <v>1</v>
      </c>
      <c r="D210" s="7">
        <v>0</v>
      </c>
    </row>
    <row r="211" spans="2:4" x14ac:dyDescent="0.25">
      <c r="B211" s="7">
        <v>2.1</v>
      </c>
      <c r="C211" s="7">
        <v>0</v>
      </c>
      <c r="D211" s="7">
        <v>0</v>
      </c>
    </row>
    <row r="212" spans="2:4" x14ac:dyDescent="0.25">
      <c r="B212" s="7">
        <v>2.54</v>
      </c>
      <c r="C212" s="7">
        <v>1</v>
      </c>
      <c r="D212" s="7">
        <v>0</v>
      </c>
    </row>
    <row r="213" spans="2:4" x14ac:dyDescent="0.25">
      <c r="B213" s="7">
        <v>2.7</v>
      </c>
      <c r="C213" s="7">
        <v>0</v>
      </c>
      <c r="D213" s="7">
        <v>0</v>
      </c>
    </row>
    <row r="214" spans="2:4" x14ac:dyDescent="0.25">
      <c r="B214" s="7">
        <v>3.48</v>
      </c>
      <c r="C214" s="7">
        <v>1</v>
      </c>
      <c r="D214" s="7">
        <v>0</v>
      </c>
    </row>
    <row r="215" spans="2:4" x14ac:dyDescent="0.25">
      <c r="B215" s="7">
        <v>2.77</v>
      </c>
      <c r="C215" s="7">
        <v>0</v>
      </c>
      <c r="D215" s="7">
        <v>1</v>
      </c>
    </row>
    <row r="216" spans="2:4" x14ac:dyDescent="0.25">
      <c r="B216" s="7">
        <v>2.67</v>
      </c>
      <c r="C216" s="7">
        <v>1</v>
      </c>
      <c r="D216" s="7">
        <v>0</v>
      </c>
    </row>
    <row r="217" spans="2:4" x14ac:dyDescent="0.25">
      <c r="B217" s="7">
        <v>2.21</v>
      </c>
      <c r="C217" s="7">
        <v>0</v>
      </c>
      <c r="D217" s="7">
        <v>0</v>
      </c>
    </row>
    <row r="218" spans="2:4" x14ac:dyDescent="0.25">
      <c r="B218" s="7">
        <v>2.61</v>
      </c>
      <c r="C218" s="7">
        <v>0</v>
      </c>
      <c r="D218" s="7">
        <v>0</v>
      </c>
    </row>
    <row r="219" spans="2:4" x14ac:dyDescent="0.25">
      <c r="B219" s="7">
        <v>3.42</v>
      </c>
      <c r="C219" s="7">
        <v>0</v>
      </c>
      <c r="D219" s="7">
        <v>0</v>
      </c>
    </row>
    <row r="220" spans="2:4" x14ac:dyDescent="0.25">
      <c r="B220" s="7">
        <v>3.47</v>
      </c>
      <c r="C220" s="7">
        <v>0</v>
      </c>
      <c r="D220" s="7">
        <v>0</v>
      </c>
    </row>
    <row r="221" spans="2:4" x14ac:dyDescent="0.25">
      <c r="B221" s="7">
        <v>2.4900000000000002</v>
      </c>
      <c r="C221" s="7">
        <v>0</v>
      </c>
      <c r="D221" s="7">
        <v>0</v>
      </c>
    </row>
    <row r="222" spans="2:4" x14ac:dyDescent="0.25">
      <c r="B222" s="7">
        <v>2.62</v>
      </c>
      <c r="C222" s="7">
        <v>0</v>
      </c>
      <c r="D222" s="7">
        <v>1</v>
      </c>
    </row>
    <row r="223" spans="2:4" x14ac:dyDescent="0.25">
      <c r="B223" s="7">
        <v>2.27</v>
      </c>
      <c r="C223" s="7">
        <v>0</v>
      </c>
      <c r="D223" s="7">
        <v>0</v>
      </c>
    </row>
    <row r="224" spans="2:4" x14ac:dyDescent="0.25">
      <c r="B224" s="7">
        <v>2.64</v>
      </c>
      <c r="C224" s="7">
        <v>0</v>
      </c>
      <c r="D224" s="7">
        <v>0</v>
      </c>
    </row>
    <row r="225" spans="2:4" x14ac:dyDescent="0.25">
      <c r="B225" s="7">
        <v>2.5999999999999996</v>
      </c>
      <c r="C225" s="7">
        <v>1</v>
      </c>
      <c r="D225" s="7">
        <v>1</v>
      </c>
    </row>
    <row r="226" spans="2:4" x14ac:dyDescent="0.25">
      <c r="B226" s="7">
        <v>2.31</v>
      </c>
      <c r="C226" s="7">
        <v>0</v>
      </c>
      <c r="D226" s="7">
        <v>0</v>
      </c>
    </row>
    <row r="227" spans="2:4" x14ac:dyDescent="0.25">
      <c r="B227" s="7">
        <v>3</v>
      </c>
      <c r="C227" s="7">
        <v>0</v>
      </c>
      <c r="D227" s="7">
        <v>0</v>
      </c>
    </row>
    <row r="228" spans="2:4" x14ac:dyDescent="0.25">
      <c r="B228" s="7">
        <v>2.48</v>
      </c>
      <c r="C228" s="7">
        <v>0</v>
      </c>
      <c r="D228" s="7">
        <v>0</v>
      </c>
    </row>
    <row r="229" spans="2:4" x14ac:dyDescent="0.25">
      <c r="B229" s="7">
        <v>3.65</v>
      </c>
      <c r="C229" s="7">
        <v>1</v>
      </c>
      <c r="D229" s="7">
        <v>0</v>
      </c>
    </row>
    <row r="230" spans="2:4" x14ac:dyDescent="0.25">
      <c r="B230" s="7">
        <v>2.0099999999999998</v>
      </c>
      <c r="C230" s="7">
        <v>0</v>
      </c>
      <c r="D230" s="7">
        <v>0</v>
      </c>
    </row>
    <row r="231" spans="2:4" x14ac:dyDescent="0.25">
      <c r="B231" s="7">
        <v>3.67</v>
      </c>
      <c r="C231" s="7">
        <v>1</v>
      </c>
      <c r="D231" s="7">
        <v>0</v>
      </c>
    </row>
    <row r="232" spans="2:4" x14ac:dyDescent="0.25">
      <c r="B232" s="7">
        <v>2.3199999999999998</v>
      </c>
      <c r="C232" s="7">
        <v>0</v>
      </c>
      <c r="D232" s="7">
        <v>0</v>
      </c>
    </row>
    <row r="233" spans="2:4" x14ac:dyDescent="0.25">
      <c r="B233" s="7">
        <v>2.94</v>
      </c>
      <c r="C233" s="7">
        <v>1</v>
      </c>
      <c r="D233" s="7">
        <v>1</v>
      </c>
    </row>
    <row r="234" spans="2:4" x14ac:dyDescent="0.25">
      <c r="B234" s="7">
        <v>3.42</v>
      </c>
      <c r="C234" s="7">
        <v>0</v>
      </c>
      <c r="D234" s="7">
        <v>0</v>
      </c>
    </row>
    <row r="235" spans="2:4" x14ac:dyDescent="0.25">
      <c r="B235" s="7">
        <v>3.87</v>
      </c>
      <c r="C235" s="7">
        <v>1</v>
      </c>
      <c r="D235" s="7">
        <v>0</v>
      </c>
    </row>
    <row r="236" spans="2:4" x14ac:dyDescent="0.25">
      <c r="B236" s="7">
        <v>2.71</v>
      </c>
      <c r="C236" s="7">
        <v>0</v>
      </c>
      <c r="D236" s="7">
        <v>0</v>
      </c>
    </row>
    <row r="237" spans="2:4" x14ac:dyDescent="0.25">
      <c r="B237" s="7">
        <v>3.9</v>
      </c>
      <c r="C237" s="7">
        <v>1</v>
      </c>
      <c r="D237" s="7">
        <v>0</v>
      </c>
    </row>
    <row r="238" spans="2:4" x14ac:dyDescent="0.25">
      <c r="B238" s="7">
        <v>2.79</v>
      </c>
      <c r="C238" s="7">
        <v>0</v>
      </c>
      <c r="D238" s="7">
        <v>0</v>
      </c>
    </row>
    <row r="239" spans="2:4" x14ac:dyDescent="0.25">
      <c r="B239" s="7">
        <v>2.19</v>
      </c>
      <c r="C239" s="7">
        <v>0</v>
      </c>
      <c r="D239" s="7">
        <v>0</v>
      </c>
    </row>
    <row r="240" spans="2:4" x14ac:dyDescent="0.25">
      <c r="B240" s="7">
        <v>3.01</v>
      </c>
      <c r="C240" s="7">
        <v>1</v>
      </c>
      <c r="D240" s="7">
        <v>0</v>
      </c>
    </row>
    <row r="241" spans="2:4" x14ac:dyDescent="0.25">
      <c r="B241" s="7">
        <v>3.29</v>
      </c>
      <c r="C241" s="7">
        <v>0</v>
      </c>
      <c r="D241" s="7">
        <v>0</v>
      </c>
    </row>
    <row r="242" spans="2:4" x14ac:dyDescent="0.25">
      <c r="B242" s="7">
        <v>2.41</v>
      </c>
      <c r="C242" s="7">
        <v>0</v>
      </c>
      <c r="D242" s="7">
        <v>0</v>
      </c>
    </row>
    <row r="243" spans="2:4" x14ac:dyDescent="0.25">
      <c r="B243" s="7">
        <v>3.46</v>
      </c>
      <c r="C243" s="7">
        <v>0</v>
      </c>
      <c r="D243" s="7">
        <v>0</v>
      </c>
    </row>
    <row r="244" spans="2:4" x14ac:dyDescent="0.25">
      <c r="B244" s="7">
        <v>2.58</v>
      </c>
      <c r="C244" s="7">
        <v>1</v>
      </c>
      <c r="D244" s="7">
        <v>0</v>
      </c>
    </row>
    <row r="245" spans="2:4" x14ac:dyDescent="0.25">
      <c r="B245" s="7">
        <v>2.48</v>
      </c>
      <c r="C245" s="7">
        <v>0</v>
      </c>
      <c r="D245" s="7">
        <v>0</v>
      </c>
    </row>
    <row r="246" spans="2:4" x14ac:dyDescent="0.25">
      <c r="B246" s="7">
        <v>2.64</v>
      </c>
      <c r="C246" s="7">
        <v>1</v>
      </c>
      <c r="D246" s="7">
        <v>0</v>
      </c>
    </row>
    <row r="247" spans="2:4" x14ac:dyDescent="0.25">
      <c r="B247" s="7">
        <v>2.59</v>
      </c>
      <c r="C247" s="7">
        <v>0</v>
      </c>
      <c r="D247" s="7">
        <v>0</v>
      </c>
    </row>
    <row r="248" spans="2:4" x14ac:dyDescent="0.25">
      <c r="B248" s="7">
        <v>2.16</v>
      </c>
      <c r="C248" s="7">
        <v>0</v>
      </c>
      <c r="D248" s="7">
        <v>0</v>
      </c>
    </row>
    <row r="249" spans="2:4" x14ac:dyDescent="0.25">
      <c r="B249" s="7">
        <v>3.48</v>
      </c>
      <c r="C249" s="7">
        <v>0</v>
      </c>
      <c r="D249" s="7">
        <v>0</v>
      </c>
    </row>
    <row r="250" spans="2:4" x14ac:dyDescent="0.25">
      <c r="B250" s="7">
        <v>2.94</v>
      </c>
      <c r="C250" s="7">
        <v>0</v>
      </c>
      <c r="D250" s="7">
        <v>0</v>
      </c>
    </row>
    <row r="251" spans="2:4" x14ac:dyDescent="0.25">
      <c r="B251" s="7">
        <v>2.92</v>
      </c>
      <c r="C251" s="7">
        <v>0</v>
      </c>
      <c r="D251" s="7">
        <v>1</v>
      </c>
    </row>
    <row r="252" spans="2:4" x14ac:dyDescent="0.25">
      <c r="B252" s="7">
        <v>3.41</v>
      </c>
      <c r="C252" s="7">
        <v>0</v>
      </c>
      <c r="D252" s="7">
        <v>0</v>
      </c>
    </row>
    <row r="253" spans="2:4" x14ac:dyDescent="0.25">
      <c r="B253" s="7">
        <v>3.64</v>
      </c>
      <c r="C253" s="7">
        <v>1</v>
      </c>
      <c r="D253" s="7">
        <v>0</v>
      </c>
    </row>
    <row r="254" spans="2:4" x14ac:dyDescent="0.25">
      <c r="B254" s="7">
        <v>2.73</v>
      </c>
      <c r="C254" s="7">
        <v>0</v>
      </c>
      <c r="D254" s="7">
        <v>0</v>
      </c>
    </row>
    <row r="255" spans="2:4" x14ac:dyDescent="0.25">
      <c r="B255" s="7">
        <v>3.06</v>
      </c>
      <c r="C255" s="7">
        <v>1</v>
      </c>
      <c r="D255" s="7">
        <v>0</v>
      </c>
    </row>
    <row r="256" spans="2:4" x14ac:dyDescent="0.25">
      <c r="B256" s="7">
        <v>3.03</v>
      </c>
      <c r="C256" s="7">
        <v>0</v>
      </c>
      <c r="D256" s="7">
        <v>0</v>
      </c>
    </row>
    <row r="257" spans="2:4" x14ac:dyDescent="0.25">
      <c r="B257" s="7">
        <v>2.2799999999999998</v>
      </c>
      <c r="C257" s="7">
        <v>0</v>
      </c>
      <c r="D257" s="7">
        <v>0</v>
      </c>
    </row>
    <row r="258" spans="2:4" x14ac:dyDescent="0.25">
      <c r="B258" s="7">
        <v>2.72</v>
      </c>
      <c r="C258" s="7">
        <v>1</v>
      </c>
      <c r="D258" s="7">
        <v>0</v>
      </c>
    </row>
    <row r="259" spans="2:4" x14ac:dyDescent="0.25">
      <c r="B259" s="7">
        <v>2.85</v>
      </c>
      <c r="C259" s="7">
        <v>0</v>
      </c>
      <c r="D259" s="7">
        <v>0</v>
      </c>
    </row>
    <row r="260" spans="2:4" x14ac:dyDescent="0.25">
      <c r="B260" s="7">
        <v>3.42</v>
      </c>
      <c r="C260" s="7">
        <v>0</v>
      </c>
      <c r="D260" s="7">
        <v>0</v>
      </c>
    </row>
    <row r="261" spans="2:4" x14ac:dyDescent="0.25">
      <c r="B261" s="7">
        <v>2.16</v>
      </c>
      <c r="C261" s="7">
        <v>0</v>
      </c>
      <c r="D261" s="7">
        <v>0</v>
      </c>
    </row>
    <row r="262" spans="2:4" x14ac:dyDescent="0.25">
      <c r="B262" s="7">
        <v>2.88</v>
      </c>
      <c r="C262" s="7">
        <v>0</v>
      </c>
      <c r="D262" s="7">
        <v>0</v>
      </c>
    </row>
    <row r="263" spans="2:4" x14ac:dyDescent="0.25">
      <c r="B263" s="7">
        <v>2.1</v>
      </c>
      <c r="C263" s="7">
        <v>0</v>
      </c>
      <c r="D263" s="7">
        <v>0</v>
      </c>
    </row>
    <row r="264" spans="2:4" x14ac:dyDescent="0.25">
      <c r="B264" s="7">
        <v>2.94</v>
      </c>
      <c r="C264" s="7">
        <v>0</v>
      </c>
      <c r="D264" s="7">
        <v>0</v>
      </c>
    </row>
    <row r="265" spans="2:4" x14ac:dyDescent="0.25">
      <c r="B265" s="7">
        <v>2.66</v>
      </c>
      <c r="C265" s="7">
        <v>1</v>
      </c>
      <c r="D265" s="7">
        <v>1</v>
      </c>
    </row>
    <row r="266" spans="2:4" x14ac:dyDescent="0.25">
      <c r="B266" s="7">
        <v>2.44</v>
      </c>
      <c r="C266" s="7">
        <v>0</v>
      </c>
      <c r="D266" s="7">
        <v>0</v>
      </c>
    </row>
    <row r="267" spans="2:4" x14ac:dyDescent="0.25">
      <c r="B267" s="7">
        <v>2.1800000000000002</v>
      </c>
      <c r="C267" s="7">
        <v>0</v>
      </c>
      <c r="D267" s="7">
        <v>0</v>
      </c>
    </row>
    <row r="268" spans="2:4" x14ac:dyDescent="0.25">
      <c r="B268" s="7">
        <v>2.69</v>
      </c>
      <c r="C268" s="7">
        <v>1</v>
      </c>
      <c r="D268" s="7">
        <v>1</v>
      </c>
    </row>
    <row r="269" spans="2:4" x14ac:dyDescent="0.25">
      <c r="B269" s="7">
        <v>2.9299999999999997</v>
      </c>
      <c r="C269" s="7">
        <v>0</v>
      </c>
      <c r="D269" s="7">
        <v>1</v>
      </c>
    </row>
    <row r="270" spans="2:4" x14ac:dyDescent="0.25">
      <c r="B270" s="7">
        <v>2.82</v>
      </c>
      <c r="C270" s="7">
        <v>0</v>
      </c>
      <c r="D270" s="7">
        <v>0</v>
      </c>
    </row>
    <row r="271" spans="2:4" x14ac:dyDescent="0.25">
      <c r="B271" s="7">
        <v>2.97</v>
      </c>
      <c r="C271" s="7">
        <v>1</v>
      </c>
      <c r="D271" s="7">
        <v>0</v>
      </c>
    </row>
    <row r="272" spans="2:4" x14ac:dyDescent="0.25">
      <c r="B272" s="7">
        <v>2.4300000000000002</v>
      </c>
      <c r="C272" s="7">
        <v>0</v>
      </c>
      <c r="D272" s="7">
        <v>0</v>
      </c>
    </row>
    <row r="273" spans="2:4" x14ac:dyDescent="0.25">
      <c r="B273" s="7">
        <v>3.69</v>
      </c>
      <c r="C273" s="7">
        <v>1</v>
      </c>
      <c r="D273" s="7">
        <v>0</v>
      </c>
    </row>
    <row r="274" spans="2:4" x14ac:dyDescent="0.25">
      <c r="B274" s="7">
        <v>3.21</v>
      </c>
      <c r="C274" s="7">
        <v>0</v>
      </c>
      <c r="D274" s="7">
        <v>0</v>
      </c>
    </row>
    <row r="275" spans="2:4" x14ac:dyDescent="0.25">
      <c r="B275" s="7">
        <v>3.05</v>
      </c>
      <c r="C275" s="7">
        <v>0</v>
      </c>
      <c r="D275" s="7">
        <v>1</v>
      </c>
    </row>
    <row r="276" spans="2:4" x14ac:dyDescent="0.25">
      <c r="B276" s="7">
        <v>2.66</v>
      </c>
      <c r="C276" s="7">
        <v>0</v>
      </c>
      <c r="D276" s="7">
        <v>1</v>
      </c>
    </row>
    <row r="277" spans="2:4" x14ac:dyDescent="0.25">
      <c r="B277" s="7">
        <v>3.25</v>
      </c>
      <c r="C277" s="7">
        <v>0</v>
      </c>
      <c r="D277" s="7">
        <v>0</v>
      </c>
    </row>
    <row r="278" spans="2:4" x14ac:dyDescent="0.25">
      <c r="B278" s="7">
        <v>2.82</v>
      </c>
      <c r="C278" s="7">
        <v>0</v>
      </c>
      <c r="D278" s="7">
        <v>0</v>
      </c>
    </row>
    <row r="279" spans="2:4" x14ac:dyDescent="0.25">
      <c r="B279" s="7">
        <v>3.34</v>
      </c>
      <c r="C279" s="7">
        <v>1</v>
      </c>
      <c r="D279" s="7">
        <v>0</v>
      </c>
    </row>
    <row r="280" spans="2:4" x14ac:dyDescent="0.25">
      <c r="B280" s="7">
        <v>3.75</v>
      </c>
      <c r="C280" s="7">
        <v>1</v>
      </c>
      <c r="D280" s="7">
        <v>0</v>
      </c>
    </row>
    <row r="281" spans="2:4" x14ac:dyDescent="0.25">
      <c r="B281" s="7">
        <v>3.14</v>
      </c>
      <c r="C281" s="7">
        <v>1</v>
      </c>
      <c r="D281" s="7">
        <v>0</v>
      </c>
    </row>
    <row r="282" spans="2:4" x14ac:dyDescent="0.25">
      <c r="B282" s="7">
        <v>2.46</v>
      </c>
      <c r="C282" s="7">
        <v>0</v>
      </c>
      <c r="D282" s="7">
        <v>0</v>
      </c>
    </row>
    <row r="283" spans="2:4" x14ac:dyDescent="0.25">
      <c r="B283" s="7">
        <v>3.39</v>
      </c>
      <c r="C283" s="7">
        <v>0</v>
      </c>
      <c r="D283" s="7">
        <v>0</v>
      </c>
    </row>
    <row r="284" spans="2:4" x14ac:dyDescent="0.25">
      <c r="B284" s="7">
        <v>3.14</v>
      </c>
      <c r="C284" s="7">
        <v>0</v>
      </c>
      <c r="D284" s="7">
        <v>0</v>
      </c>
    </row>
    <row r="285" spans="2:4" x14ac:dyDescent="0.25">
      <c r="B285" s="7">
        <v>2.52</v>
      </c>
      <c r="C285" s="7">
        <v>0</v>
      </c>
      <c r="D285" s="7">
        <v>0</v>
      </c>
    </row>
    <row r="286" spans="2:4" x14ac:dyDescent="0.25">
      <c r="B286" s="7">
        <v>3.37</v>
      </c>
      <c r="C286" s="7">
        <v>0</v>
      </c>
      <c r="D286" s="7">
        <v>0</v>
      </c>
    </row>
    <row r="287" spans="2:4" x14ac:dyDescent="0.25">
      <c r="B287" s="7">
        <v>3.67</v>
      </c>
      <c r="C287" s="7">
        <v>1</v>
      </c>
      <c r="D287" s="7">
        <v>0</v>
      </c>
    </row>
    <row r="288" spans="2:4" x14ac:dyDescent="0.25">
      <c r="B288" s="7">
        <v>3.55</v>
      </c>
      <c r="C288" s="7">
        <v>1</v>
      </c>
      <c r="D288" s="7">
        <v>0</v>
      </c>
    </row>
    <row r="289" spans="2:4" x14ac:dyDescent="0.25">
      <c r="B289" s="7">
        <v>3.36</v>
      </c>
      <c r="C289" s="7">
        <v>0</v>
      </c>
      <c r="D289" s="7">
        <v>0</v>
      </c>
    </row>
    <row r="290" spans="2:4" x14ac:dyDescent="0.25">
      <c r="B290" s="7">
        <v>2.1</v>
      </c>
      <c r="C290" s="7">
        <v>0</v>
      </c>
      <c r="D290" s="7">
        <v>0</v>
      </c>
    </row>
    <row r="291" spans="2:4" x14ac:dyDescent="0.25">
      <c r="B291" s="7">
        <v>2.4700000000000002</v>
      </c>
      <c r="C291" s="7">
        <v>0</v>
      </c>
      <c r="D291" s="7">
        <v>0</v>
      </c>
    </row>
    <row r="292" spans="2:4" x14ac:dyDescent="0.25">
      <c r="B292" s="7">
        <v>2.86</v>
      </c>
      <c r="C292" s="7">
        <v>0</v>
      </c>
      <c r="D292" s="7">
        <v>1</v>
      </c>
    </row>
    <row r="293" spans="2:4" x14ac:dyDescent="0.25">
      <c r="B293" s="7">
        <v>3.25</v>
      </c>
      <c r="C293" s="7">
        <v>0</v>
      </c>
      <c r="D293" s="7">
        <v>0</v>
      </c>
    </row>
    <row r="294" spans="2:4" x14ac:dyDescent="0.25">
      <c r="B294" s="7">
        <v>2.89</v>
      </c>
      <c r="C294" s="7">
        <v>1</v>
      </c>
      <c r="D294" s="7">
        <v>0</v>
      </c>
    </row>
    <row r="295" spans="2:4" x14ac:dyDescent="0.25">
      <c r="B295" s="7">
        <v>2.7800000000000002</v>
      </c>
      <c r="C295" s="7">
        <v>1</v>
      </c>
      <c r="D295" s="7">
        <v>1</v>
      </c>
    </row>
    <row r="296" spans="2:4" x14ac:dyDescent="0.25">
      <c r="B296" s="7">
        <v>3.21</v>
      </c>
      <c r="C296" s="7">
        <v>1</v>
      </c>
      <c r="D296" s="7">
        <v>0</v>
      </c>
    </row>
    <row r="297" spans="2:4" x14ac:dyDescent="0.25">
      <c r="B297" s="7">
        <v>2.83</v>
      </c>
      <c r="C297" s="7">
        <v>1</v>
      </c>
      <c r="D297" s="7">
        <v>0</v>
      </c>
    </row>
    <row r="298" spans="2:4" x14ac:dyDescent="0.25">
      <c r="B298" s="7">
        <v>3.24</v>
      </c>
      <c r="C298" s="7">
        <v>0</v>
      </c>
      <c r="D298" s="7">
        <v>0</v>
      </c>
    </row>
    <row r="299" spans="2:4" x14ac:dyDescent="0.25">
      <c r="B299" s="7">
        <v>2.2599999999999998</v>
      </c>
      <c r="C299" s="7">
        <v>0</v>
      </c>
      <c r="D299" s="7">
        <v>0</v>
      </c>
    </row>
    <row r="300" spans="2:4" x14ac:dyDescent="0.25">
      <c r="B300" s="7">
        <v>2.8899999999999997</v>
      </c>
      <c r="C300" s="7">
        <v>0</v>
      </c>
      <c r="D300" s="7">
        <v>1</v>
      </c>
    </row>
    <row r="301" spans="2:4" x14ac:dyDescent="0.25">
      <c r="B301" s="7">
        <v>2.88</v>
      </c>
      <c r="C301" s="7">
        <v>1</v>
      </c>
      <c r="D301" s="7">
        <v>1</v>
      </c>
    </row>
    <row r="302" spans="2:4" x14ac:dyDescent="0.25">
      <c r="B302" s="7">
        <v>2.6</v>
      </c>
      <c r="C302" s="7">
        <v>0</v>
      </c>
      <c r="D302" s="7">
        <v>0</v>
      </c>
    </row>
    <row r="303" spans="2:4" x14ac:dyDescent="0.25">
      <c r="B303" s="7">
        <v>2.2400000000000002</v>
      </c>
      <c r="C303" s="7">
        <v>0</v>
      </c>
      <c r="D303" s="7">
        <v>0</v>
      </c>
    </row>
    <row r="304" spans="2:4" x14ac:dyDescent="0.25">
      <c r="B304" s="7">
        <v>2.74</v>
      </c>
      <c r="C304" s="7">
        <v>0</v>
      </c>
      <c r="D304" s="7">
        <v>0</v>
      </c>
    </row>
    <row r="305" spans="2:4" x14ac:dyDescent="0.25">
      <c r="B305" s="7">
        <v>3.14</v>
      </c>
      <c r="C305" s="7">
        <v>1</v>
      </c>
      <c r="D305" s="7">
        <v>0</v>
      </c>
    </row>
    <row r="306" spans="2:4" x14ac:dyDescent="0.25">
      <c r="B306" s="7">
        <v>2.71</v>
      </c>
      <c r="C306" s="7">
        <v>1</v>
      </c>
      <c r="D306" s="7">
        <v>1</v>
      </c>
    </row>
    <row r="307" spans="2:4" x14ac:dyDescent="0.25">
      <c r="B307" s="7">
        <v>2.62</v>
      </c>
      <c r="C307" s="7">
        <v>1</v>
      </c>
      <c r="D307" s="7">
        <v>0</v>
      </c>
    </row>
    <row r="308" spans="2:4" x14ac:dyDescent="0.25">
      <c r="B308" s="7">
        <v>3.41</v>
      </c>
      <c r="C308" s="7">
        <v>0</v>
      </c>
      <c r="D308" s="7">
        <v>0</v>
      </c>
    </row>
    <row r="309" spans="2:4" x14ac:dyDescent="0.25">
      <c r="B309" s="7">
        <v>2.66</v>
      </c>
      <c r="C309" s="7">
        <v>0</v>
      </c>
      <c r="D309" s="7">
        <v>1</v>
      </c>
    </row>
    <row r="310" spans="2:4" x14ac:dyDescent="0.25">
      <c r="B310" s="7">
        <v>2.75</v>
      </c>
      <c r="C310" s="7">
        <v>0</v>
      </c>
      <c r="D310" s="7">
        <v>0</v>
      </c>
    </row>
    <row r="311" spans="2:4" x14ac:dyDescent="0.25">
      <c r="B311" s="7">
        <v>2.74</v>
      </c>
      <c r="C311" s="7">
        <v>0</v>
      </c>
      <c r="D311" s="7">
        <v>0</v>
      </c>
    </row>
    <row r="312" spans="2:4" x14ac:dyDescent="0.25">
      <c r="B312" s="7">
        <v>3.91</v>
      </c>
      <c r="C312" s="7">
        <v>1</v>
      </c>
      <c r="D312" s="7">
        <v>0</v>
      </c>
    </row>
    <row r="313" spans="2:4" x14ac:dyDescent="0.25">
      <c r="B313" s="7">
        <v>3.23</v>
      </c>
      <c r="C313" s="7">
        <v>0</v>
      </c>
      <c r="D313" s="7">
        <v>1</v>
      </c>
    </row>
    <row r="314" spans="2:4" x14ac:dyDescent="0.25">
      <c r="B314" s="7">
        <v>2.5300000000000002</v>
      </c>
      <c r="C314" s="7">
        <v>1</v>
      </c>
      <c r="D314" s="7">
        <v>1</v>
      </c>
    </row>
    <row r="315" spans="2:4" x14ac:dyDescent="0.25">
      <c r="B315" s="7">
        <v>3.05</v>
      </c>
      <c r="C315" s="7">
        <v>0</v>
      </c>
      <c r="D315" s="7">
        <v>0</v>
      </c>
    </row>
    <row r="316" spans="2:4" x14ac:dyDescent="0.25">
      <c r="B316" s="7">
        <v>2.72</v>
      </c>
      <c r="C316" s="7">
        <v>0</v>
      </c>
      <c r="D316" s="7">
        <v>0</v>
      </c>
    </row>
    <row r="317" spans="2:4" x14ac:dyDescent="0.25">
      <c r="B317" s="7">
        <v>2.38</v>
      </c>
      <c r="C317" s="7">
        <v>0</v>
      </c>
      <c r="D317" s="7">
        <v>0</v>
      </c>
    </row>
    <row r="318" spans="2:4" x14ac:dyDescent="0.25">
      <c r="B318" s="7">
        <v>2.46</v>
      </c>
      <c r="C318" s="7">
        <v>0</v>
      </c>
      <c r="D318" s="7">
        <v>0</v>
      </c>
    </row>
    <row r="319" spans="2:4" x14ac:dyDescent="0.25">
      <c r="B319" s="7">
        <v>2.59</v>
      </c>
      <c r="C319" s="7">
        <v>0</v>
      </c>
      <c r="D319" s="7">
        <v>0</v>
      </c>
    </row>
    <row r="320" spans="2:4" x14ac:dyDescent="0.25">
      <c r="B320" s="7">
        <v>2.66</v>
      </c>
      <c r="C320" s="7">
        <v>0</v>
      </c>
      <c r="D320" s="7">
        <v>0</v>
      </c>
    </row>
    <row r="321" spans="2:4" x14ac:dyDescent="0.25">
      <c r="B321" s="7">
        <v>2.85</v>
      </c>
      <c r="C321" s="7">
        <v>0</v>
      </c>
      <c r="D321" s="7">
        <v>0</v>
      </c>
    </row>
    <row r="322" spans="2:4" x14ac:dyDescent="0.25">
      <c r="B322" s="7">
        <v>3.05</v>
      </c>
      <c r="C322" s="7">
        <v>0</v>
      </c>
      <c r="D322" s="7">
        <v>0</v>
      </c>
    </row>
    <row r="323" spans="2:4" x14ac:dyDescent="0.25">
      <c r="B323" s="7">
        <v>3.84</v>
      </c>
      <c r="C323" s="7">
        <v>0</v>
      </c>
      <c r="D323" s="7">
        <v>0</v>
      </c>
    </row>
    <row r="324" spans="2:4" x14ac:dyDescent="0.25">
      <c r="B324" s="7">
        <v>3.53</v>
      </c>
      <c r="C324" s="7">
        <v>1</v>
      </c>
      <c r="D324" s="7">
        <v>0</v>
      </c>
    </row>
    <row r="325" spans="2:4" x14ac:dyDescent="0.25">
      <c r="B325" s="7">
        <v>3.08</v>
      </c>
      <c r="C325" s="7">
        <v>1</v>
      </c>
      <c r="D325" s="7">
        <v>0</v>
      </c>
    </row>
    <row r="326" spans="2:4" x14ac:dyDescent="0.25">
      <c r="B326" s="7">
        <v>2.95</v>
      </c>
      <c r="C326" s="7">
        <v>0</v>
      </c>
      <c r="D326" s="7">
        <v>0</v>
      </c>
    </row>
    <row r="327" spans="2:4" x14ac:dyDescent="0.25">
      <c r="B327" s="7">
        <v>2.61</v>
      </c>
      <c r="C327" s="7">
        <v>1</v>
      </c>
      <c r="D327" s="7">
        <v>1</v>
      </c>
    </row>
    <row r="328" spans="2:4" x14ac:dyDescent="0.25">
      <c r="B328" s="7">
        <v>2.95</v>
      </c>
      <c r="C328" s="7">
        <v>1</v>
      </c>
      <c r="D328" s="7">
        <v>0</v>
      </c>
    </row>
    <row r="329" spans="2:4" x14ac:dyDescent="0.25">
      <c r="B329" s="7">
        <v>3.1</v>
      </c>
      <c r="C329" s="7">
        <v>0</v>
      </c>
      <c r="D329" s="7">
        <v>0</v>
      </c>
    </row>
    <row r="330" spans="2:4" x14ac:dyDescent="0.25">
      <c r="B330" s="7">
        <v>2.83</v>
      </c>
      <c r="C330" s="7">
        <v>0</v>
      </c>
      <c r="D330" s="7">
        <v>0</v>
      </c>
    </row>
    <row r="331" spans="2:4" x14ac:dyDescent="0.25">
      <c r="B331" s="7">
        <v>3.26</v>
      </c>
      <c r="C331" s="7">
        <v>0</v>
      </c>
      <c r="D331" s="7">
        <v>0</v>
      </c>
    </row>
    <row r="332" spans="2:4" x14ac:dyDescent="0.25">
      <c r="B332" s="7">
        <v>3.34</v>
      </c>
      <c r="C332" s="7">
        <v>0</v>
      </c>
      <c r="D332" s="7">
        <v>0</v>
      </c>
    </row>
    <row r="333" spans="2:4" x14ac:dyDescent="0.25">
      <c r="B333" s="7">
        <v>3.5</v>
      </c>
      <c r="C333" s="7">
        <v>0</v>
      </c>
      <c r="D333" s="7">
        <v>0</v>
      </c>
    </row>
    <row r="334" spans="2:4" x14ac:dyDescent="0.25">
      <c r="B334" s="7">
        <v>2.35</v>
      </c>
      <c r="C334" s="7">
        <v>0</v>
      </c>
      <c r="D334" s="7">
        <v>0</v>
      </c>
    </row>
    <row r="335" spans="2:4" x14ac:dyDescent="0.25">
      <c r="B335" s="7">
        <v>2.34</v>
      </c>
      <c r="C335" s="7">
        <v>0</v>
      </c>
      <c r="D335" s="7">
        <v>0</v>
      </c>
    </row>
    <row r="336" spans="2:4" x14ac:dyDescent="0.25">
      <c r="B336" s="7">
        <v>2.16</v>
      </c>
      <c r="C336" s="7">
        <v>0</v>
      </c>
      <c r="D336" s="7">
        <v>0</v>
      </c>
    </row>
    <row r="337" spans="2:4" x14ac:dyDescent="0.25">
      <c r="B337" s="7">
        <v>2.67</v>
      </c>
      <c r="C337" s="7">
        <v>1</v>
      </c>
      <c r="D337" s="7">
        <v>1</v>
      </c>
    </row>
    <row r="338" spans="2:4" x14ac:dyDescent="0.25">
      <c r="B338" s="7">
        <v>2.4900000000000002</v>
      </c>
      <c r="C338" s="7">
        <v>0</v>
      </c>
      <c r="D338" s="7">
        <v>0</v>
      </c>
    </row>
    <row r="339" spans="2:4" x14ac:dyDescent="0.25">
      <c r="B339" s="7">
        <v>2.86</v>
      </c>
      <c r="C339" s="7">
        <v>1</v>
      </c>
      <c r="D339" s="7">
        <v>1</v>
      </c>
    </row>
    <row r="340" spans="2:4" x14ac:dyDescent="0.25">
      <c r="B340" s="7">
        <v>3.01</v>
      </c>
      <c r="C340" s="7">
        <v>0</v>
      </c>
      <c r="D340" s="7">
        <v>0</v>
      </c>
    </row>
    <row r="341" spans="2:4" x14ac:dyDescent="0.25">
      <c r="B341" s="7">
        <v>2.99</v>
      </c>
      <c r="C341" s="7">
        <v>0</v>
      </c>
      <c r="D341" s="7">
        <v>1</v>
      </c>
    </row>
    <row r="342" spans="2:4" x14ac:dyDescent="0.25">
      <c r="B342" s="7">
        <v>3.03</v>
      </c>
      <c r="C342" s="7">
        <v>0</v>
      </c>
      <c r="D342" s="7">
        <v>0</v>
      </c>
    </row>
    <row r="343" spans="2:4" x14ac:dyDescent="0.25">
      <c r="B343" s="7">
        <v>3.85</v>
      </c>
      <c r="C343" s="7">
        <v>0</v>
      </c>
      <c r="D343" s="7">
        <v>0</v>
      </c>
    </row>
    <row r="344" spans="2:4" x14ac:dyDescent="0.25">
      <c r="B344" s="7">
        <v>2.5499999999999998</v>
      </c>
      <c r="C344" s="7">
        <v>0</v>
      </c>
      <c r="D344" s="7">
        <v>0</v>
      </c>
    </row>
    <row r="345" spans="2:4" x14ac:dyDescent="0.25">
      <c r="B345" s="7">
        <v>2.62</v>
      </c>
      <c r="C345" s="7">
        <v>0</v>
      </c>
      <c r="D345" s="7">
        <v>1</v>
      </c>
    </row>
    <row r="346" spans="2:4" x14ac:dyDescent="0.25">
      <c r="B346" s="7">
        <v>2.87</v>
      </c>
      <c r="C346" s="7">
        <v>1</v>
      </c>
      <c r="D346" s="7">
        <v>0</v>
      </c>
    </row>
    <row r="347" spans="2:4" x14ac:dyDescent="0.25">
      <c r="B347" s="7">
        <v>3.74</v>
      </c>
      <c r="C347" s="7">
        <v>1</v>
      </c>
      <c r="D347" s="7">
        <v>0</v>
      </c>
    </row>
    <row r="348" spans="2:4" x14ac:dyDescent="0.25">
      <c r="B348" s="7">
        <v>2.86</v>
      </c>
      <c r="C348" s="7">
        <v>0</v>
      </c>
      <c r="D348" s="7">
        <v>0</v>
      </c>
    </row>
    <row r="349" spans="2:4" x14ac:dyDescent="0.25">
      <c r="B349" s="7">
        <v>2.81</v>
      </c>
      <c r="C349" s="7">
        <v>0</v>
      </c>
      <c r="D349" s="7">
        <v>0</v>
      </c>
    </row>
    <row r="350" spans="2:4" x14ac:dyDescent="0.25">
      <c r="B350" s="7">
        <v>3.11</v>
      </c>
      <c r="C350" s="7">
        <v>1</v>
      </c>
      <c r="D350" s="7">
        <v>0</v>
      </c>
    </row>
    <row r="351" spans="2:4" x14ac:dyDescent="0.25">
      <c r="B351" s="7">
        <v>2.65</v>
      </c>
      <c r="C351" s="7">
        <v>0</v>
      </c>
      <c r="D351" s="7">
        <v>0</v>
      </c>
    </row>
    <row r="352" spans="2:4" x14ac:dyDescent="0.25">
      <c r="B352" s="7">
        <v>2.0499999999999998</v>
      </c>
      <c r="C352" s="7">
        <v>0</v>
      </c>
      <c r="D352" s="7">
        <v>0</v>
      </c>
    </row>
    <row r="353" spans="2:4" x14ac:dyDescent="0.25">
      <c r="B353" s="7">
        <v>3.09</v>
      </c>
      <c r="C353" s="7">
        <v>0</v>
      </c>
      <c r="D353" s="7">
        <v>0</v>
      </c>
    </row>
    <row r="354" spans="2:4" x14ac:dyDescent="0.25">
      <c r="B354" s="7">
        <v>2.56</v>
      </c>
      <c r="C354" s="7">
        <v>0</v>
      </c>
      <c r="D354" s="7">
        <v>1</v>
      </c>
    </row>
    <row r="355" spans="2:4" x14ac:dyDescent="0.25">
      <c r="B355" s="7">
        <v>2.12</v>
      </c>
      <c r="C355" s="7">
        <v>0</v>
      </c>
      <c r="D355" s="7">
        <v>0</v>
      </c>
    </row>
    <row r="356" spans="2:4" x14ac:dyDescent="0.25">
      <c r="B356" s="7">
        <v>3.11</v>
      </c>
      <c r="C356" s="7">
        <v>0</v>
      </c>
      <c r="D356" s="7">
        <v>0</v>
      </c>
    </row>
    <row r="357" spans="2:4" x14ac:dyDescent="0.25">
      <c r="B357" s="7">
        <v>2.42</v>
      </c>
      <c r="C357" s="7">
        <v>0</v>
      </c>
      <c r="D357" s="7">
        <v>0</v>
      </c>
    </row>
    <row r="358" spans="2:4" x14ac:dyDescent="0.25">
      <c r="B358" s="7">
        <v>2.21</v>
      </c>
      <c r="C358" s="7">
        <v>0</v>
      </c>
      <c r="D358" s="7">
        <v>1</v>
      </c>
    </row>
    <row r="359" spans="2:4" x14ac:dyDescent="0.25">
      <c r="B359" s="7">
        <v>2.93</v>
      </c>
      <c r="C359" s="7">
        <v>0</v>
      </c>
      <c r="D359" s="7">
        <v>0</v>
      </c>
    </row>
    <row r="360" spans="2:4" x14ac:dyDescent="0.25">
      <c r="B360" s="7">
        <v>2.67</v>
      </c>
      <c r="C360" s="7">
        <v>0</v>
      </c>
      <c r="D360" s="7">
        <v>0</v>
      </c>
    </row>
    <row r="361" spans="2:4" x14ac:dyDescent="0.25">
      <c r="B361" s="7">
        <v>2.38</v>
      </c>
      <c r="C361" s="7">
        <v>0</v>
      </c>
      <c r="D361" s="7">
        <v>1</v>
      </c>
    </row>
    <row r="362" spans="2:4" x14ac:dyDescent="0.25">
      <c r="B362" s="7">
        <v>3.35</v>
      </c>
      <c r="C362" s="7">
        <v>0</v>
      </c>
      <c r="D362" s="7">
        <v>0</v>
      </c>
    </row>
    <row r="363" spans="2:4" x14ac:dyDescent="0.25">
      <c r="B363" s="7">
        <v>3.48</v>
      </c>
      <c r="C363" s="7">
        <v>0</v>
      </c>
      <c r="D363" s="7">
        <v>0</v>
      </c>
    </row>
    <row r="364" spans="2:4" x14ac:dyDescent="0.25">
      <c r="B364" s="7">
        <v>2.94</v>
      </c>
      <c r="C364" s="7">
        <v>0</v>
      </c>
      <c r="D364" s="7">
        <v>0</v>
      </c>
    </row>
    <row r="365" spans="2:4" x14ac:dyDescent="0.25">
      <c r="B365" s="7">
        <v>2.7</v>
      </c>
      <c r="C365" s="7">
        <v>0</v>
      </c>
      <c r="D365" s="7">
        <v>1</v>
      </c>
    </row>
    <row r="366" spans="2:4" x14ac:dyDescent="0.25">
      <c r="B366" s="7">
        <v>2.82</v>
      </c>
      <c r="C366" s="7">
        <v>1</v>
      </c>
      <c r="D366" s="7">
        <v>0</v>
      </c>
    </row>
    <row r="367" spans="2:4" x14ac:dyDescent="0.25">
      <c r="B367" s="7">
        <v>2.65</v>
      </c>
      <c r="C367" s="7">
        <v>1</v>
      </c>
      <c r="D367" s="7">
        <v>0</v>
      </c>
    </row>
    <row r="368" spans="2:4" x14ac:dyDescent="0.25">
      <c r="B368" s="7">
        <v>2.2799999999999998</v>
      </c>
      <c r="C368" s="7">
        <v>0</v>
      </c>
      <c r="D368" s="7">
        <v>1</v>
      </c>
    </row>
    <row r="369" spans="2:4" x14ac:dyDescent="0.25">
      <c r="B369" s="7">
        <v>2.66</v>
      </c>
      <c r="C369" s="7">
        <v>0</v>
      </c>
      <c r="D369" s="7">
        <v>0</v>
      </c>
    </row>
    <row r="370" spans="2:4" x14ac:dyDescent="0.25">
      <c r="B370" s="7">
        <v>2.19</v>
      </c>
      <c r="C370" s="7">
        <v>0</v>
      </c>
      <c r="D370" s="7">
        <v>1</v>
      </c>
    </row>
    <row r="371" spans="2:4" x14ac:dyDescent="0.25">
      <c r="B371" s="7">
        <v>3.16</v>
      </c>
      <c r="C371" s="7">
        <v>0</v>
      </c>
      <c r="D371" s="7">
        <v>0</v>
      </c>
    </row>
    <row r="372" spans="2:4" x14ac:dyDescent="0.25">
      <c r="B372" s="7">
        <v>3.62</v>
      </c>
      <c r="C372" s="7">
        <v>1</v>
      </c>
      <c r="D372" s="7">
        <v>0</v>
      </c>
    </row>
    <row r="373" spans="2:4" x14ac:dyDescent="0.25">
      <c r="B373" s="7">
        <v>2.4</v>
      </c>
      <c r="C373" s="7">
        <v>0</v>
      </c>
      <c r="D373" s="7">
        <v>0</v>
      </c>
    </row>
    <row r="374" spans="2:4" x14ac:dyDescent="0.25">
      <c r="B374" s="7">
        <v>3.01</v>
      </c>
      <c r="C374" s="7">
        <v>0</v>
      </c>
      <c r="D374" s="7">
        <v>0</v>
      </c>
    </row>
    <row r="375" spans="2:4" x14ac:dyDescent="0.25">
      <c r="B375" s="7">
        <v>2.77</v>
      </c>
      <c r="C375" s="7">
        <v>0</v>
      </c>
      <c r="D375" s="7">
        <v>1</v>
      </c>
    </row>
    <row r="376" spans="2:4" x14ac:dyDescent="0.25">
      <c r="B376" s="7">
        <v>3.64</v>
      </c>
      <c r="C376" s="7">
        <v>1</v>
      </c>
      <c r="D376" s="7">
        <v>0</v>
      </c>
    </row>
    <row r="377" spans="2:4" x14ac:dyDescent="0.25">
      <c r="B377" s="7">
        <v>3.77</v>
      </c>
      <c r="C377" s="7">
        <v>0</v>
      </c>
      <c r="D377" s="7">
        <v>0</v>
      </c>
    </row>
    <row r="378" spans="2:4" x14ac:dyDescent="0.25">
      <c r="B378" s="7">
        <v>2.67</v>
      </c>
      <c r="C378" s="7">
        <v>0</v>
      </c>
      <c r="D378" s="7">
        <v>0</v>
      </c>
    </row>
    <row r="379" spans="2:4" x14ac:dyDescent="0.25">
      <c r="B379" s="7">
        <v>2.4</v>
      </c>
      <c r="C379" s="7">
        <v>0</v>
      </c>
      <c r="D379" s="7">
        <v>0</v>
      </c>
    </row>
    <row r="380" spans="2:4" x14ac:dyDescent="0.25">
      <c r="B380" s="7">
        <v>3.41</v>
      </c>
      <c r="C380" s="7">
        <v>1</v>
      </c>
      <c r="D380" s="7">
        <v>0</v>
      </c>
    </row>
    <row r="381" spans="2:4" x14ac:dyDescent="0.25">
      <c r="B381" s="7">
        <v>2.79</v>
      </c>
      <c r="C381" s="7">
        <v>0</v>
      </c>
      <c r="D381" s="7">
        <v>0</v>
      </c>
    </row>
    <row r="382" spans="2:4" x14ac:dyDescent="0.25">
      <c r="B382" s="7">
        <v>3.2</v>
      </c>
      <c r="C382" s="7">
        <v>0</v>
      </c>
      <c r="D382" s="7">
        <v>0</v>
      </c>
    </row>
    <row r="383" spans="2:4" x14ac:dyDescent="0.25">
      <c r="B383" s="7">
        <v>3.53</v>
      </c>
      <c r="C383" s="7">
        <v>1</v>
      </c>
      <c r="D383" s="7">
        <v>0</v>
      </c>
    </row>
    <row r="384" spans="2:4" x14ac:dyDescent="0.25">
      <c r="B384" s="7">
        <v>2.68</v>
      </c>
      <c r="C384" s="7">
        <v>0</v>
      </c>
      <c r="D384" s="7">
        <v>0</v>
      </c>
    </row>
    <row r="385" spans="2:4" x14ac:dyDescent="0.25">
      <c r="B385" s="7">
        <v>2.57</v>
      </c>
      <c r="C385" s="7">
        <v>0</v>
      </c>
      <c r="D385" s="7">
        <v>0</v>
      </c>
    </row>
    <row r="386" spans="2:4" x14ac:dyDescent="0.25">
      <c r="B386" s="7">
        <v>3.17</v>
      </c>
      <c r="C386" s="7">
        <v>0</v>
      </c>
      <c r="D386" s="7">
        <v>0</v>
      </c>
    </row>
    <row r="387" spans="2:4" x14ac:dyDescent="0.25">
      <c r="B387" s="7">
        <v>2.8499999999999996</v>
      </c>
      <c r="C387" s="7">
        <v>0</v>
      </c>
      <c r="D387" s="7">
        <v>0</v>
      </c>
    </row>
    <row r="388" spans="2:4" x14ac:dyDescent="0.25">
      <c r="B388" s="7">
        <v>3.71</v>
      </c>
      <c r="C388" s="7">
        <v>1</v>
      </c>
      <c r="D388" s="7">
        <v>0</v>
      </c>
    </row>
    <row r="389" spans="2:4" x14ac:dyDescent="0.25">
      <c r="B389" s="7">
        <v>3.19</v>
      </c>
      <c r="C389" s="7">
        <v>0</v>
      </c>
      <c r="D389" s="7">
        <v>0</v>
      </c>
    </row>
    <row r="390" spans="2:4" x14ac:dyDescent="0.25">
      <c r="B390" s="7">
        <v>2.94</v>
      </c>
      <c r="C390" s="7">
        <v>0</v>
      </c>
      <c r="D390" s="7">
        <v>1</v>
      </c>
    </row>
    <row r="391" spans="2:4" x14ac:dyDescent="0.25">
      <c r="B391" s="7">
        <v>2.91</v>
      </c>
      <c r="C391" s="7">
        <v>0</v>
      </c>
      <c r="D391" s="7">
        <v>1</v>
      </c>
    </row>
    <row r="392" spans="2:4" x14ac:dyDescent="0.25">
      <c r="B392" s="7">
        <v>2.8</v>
      </c>
      <c r="C392" s="7">
        <v>0</v>
      </c>
      <c r="D392" s="7">
        <v>0</v>
      </c>
    </row>
    <row r="393" spans="2:4" x14ac:dyDescent="0.25">
      <c r="B393" s="7">
        <v>2.8899999999999997</v>
      </c>
      <c r="C393" s="7">
        <v>1</v>
      </c>
      <c r="D393" s="7">
        <v>1</v>
      </c>
    </row>
    <row r="394" spans="2:4" x14ac:dyDescent="0.25">
      <c r="B394" s="7">
        <v>2.3199999999999998</v>
      </c>
      <c r="C394" s="7">
        <v>0</v>
      </c>
      <c r="D394" s="7">
        <v>0</v>
      </c>
    </row>
    <row r="395" spans="2:4" x14ac:dyDescent="0.25">
      <c r="B395" s="7">
        <v>2.75</v>
      </c>
      <c r="C395" s="7">
        <v>0</v>
      </c>
      <c r="D395" s="7">
        <v>0</v>
      </c>
    </row>
    <row r="396" spans="2:4" x14ac:dyDescent="0.25">
      <c r="B396" s="7">
        <v>3.3</v>
      </c>
      <c r="C396" s="7">
        <v>0</v>
      </c>
      <c r="D396" s="7">
        <v>0</v>
      </c>
    </row>
    <row r="397" spans="2:4" x14ac:dyDescent="0.25">
      <c r="B397" s="7">
        <v>3.22</v>
      </c>
      <c r="C397" s="7">
        <v>0</v>
      </c>
      <c r="D397" s="7">
        <v>1</v>
      </c>
    </row>
    <row r="398" spans="2:4" x14ac:dyDescent="0.25">
      <c r="B398" s="7">
        <v>2.08</v>
      </c>
      <c r="C398" s="7">
        <v>0</v>
      </c>
      <c r="D398" s="7">
        <v>0</v>
      </c>
    </row>
    <row r="399" spans="2:4" x14ac:dyDescent="0.25">
      <c r="B399" s="7">
        <v>3.87</v>
      </c>
      <c r="C399" s="7">
        <v>1</v>
      </c>
      <c r="D399" s="7">
        <v>0</v>
      </c>
    </row>
    <row r="400" spans="2:4" x14ac:dyDescent="0.25">
      <c r="B400" s="7">
        <v>2.16</v>
      </c>
      <c r="C400" s="7">
        <v>0</v>
      </c>
      <c r="D400" s="7">
        <v>0</v>
      </c>
    </row>
    <row r="401" spans="2:4" x14ac:dyDescent="0.25">
      <c r="B401" s="7">
        <v>2.95</v>
      </c>
      <c r="C401" s="7">
        <v>0</v>
      </c>
      <c r="D401" s="7">
        <v>0</v>
      </c>
    </row>
    <row r="402" spans="2:4" x14ac:dyDescent="0.25">
      <c r="B402" s="7">
        <v>2.39</v>
      </c>
      <c r="C402" s="7">
        <v>0</v>
      </c>
      <c r="D402" s="7">
        <v>0</v>
      </c>
    </row>
    <row r="403" spans="2:4" x14ac:dyDescent="0.25">
      <c r="B403" s="7">
        <v>2.75</v>
      </c>
      <c r="C403" s="7">
        <v>0</v>
      </c>
      <c r="D403" s="7">
        <v>0</v>
      </c>
    </row>
    <row r="404" spans="2:4" x14ac:dyDescent="0.25">
      <c r="B404" s="7">
        <v>2.17</v>
      </c>
      <c r="C404" s="7">
        <v>0</v>
      </c>
      <c r="D404" s="7">
        <v>0</v>
      </c>
    </row>
    <row r="405" spans="2:4" x14ac:dyDescent="0.25">
      <c r="B405" s="7">
        <v>3.13</v>
      </c>
      <c r="C405" s="7">
        <v>0</v>
      </c>
      <c r="D405" s="7">
        <v>0</v>
      </c>
    </row>
    <row r="406" spans="2:4" x14ac:dyDescent="0.25">
      <c r="B406" s="7">
        <v>2.8200000000000003</v>
      </c>
      <c r="C406" s="7">
        <v>0</v>
      </c>
      <c r="D406" s="7">
        <v>1</v>
      </c>
    </row>
    <row r="407" spans="2:4" x14ac:dyDescent="0.25">
      <c r="B407" s="7">
        <v>2.68</v>
      </c>
      <c r="C407" s="7">
        <v>1</v>
      </c>
      <c r="D407" s="7">
        <v>0</v>
      </c>
    </row>
    <row r="408" spans="2:4" x14ac:dyDescent="0.25">
      <c r="B408" s="7">
        <v>2.83</v>
      </c>
      <c r="C408" s="7">
        <v>0</v>
      </c>
      <c r="D408" s="7">
        <v>0</v>
      </c>
    </row>
    <row r="409" spans="2:4" x14ac:dyDescent="0.25">
      <c r="B409" s="7">
        <v>3.1399999999999997</v>
      </c>
      <c r="C409" s="7">
        <v>0</v>
      </c>
      <c r="D409" s="7">
        <v>1</v>
      </c>
    </row>
    <row r="410" spans="2:4" x14ac:dyDescent="0.25">
      <c r="B410" s="7">
        <v>4</v>
      </c>
      <c r="C410" s="7">
        <v>1</v>
      </c>
      <c r="D410" s="7">
        <v>0</v>
      </c>
    </row>
    <row r="411" spans="2:4" x14ac:dyDescent="0.25">
      <c r="B411" s="7">
        <v>3.8</v>
      </c>
      <c r="C411" s="7">
        <v>1</v>
      </c>
      <c r="D411" s="7">
        <v>0</v>
      </c>
    </row>
    <row r="412" spans="2:4" x14ac:dyDescent="0.25">
      <c r="B412" s="7">
        <v>2.54</v>
      </c>
      <c r="C412" s="7">
        <v>0</v>
      </c>
      <c r="D412" s="7">
        <v>0</v>
      </c>
    </row>
    <row r="413" spans="2:4" x14ac:dyDescent="0.25">
      <c r="B413" s="7">
        <v>2.4</v>
      </c>
      <c r="C413" s="7">
        <v>0</v>
      </c>
      <c r="D413" s="7">
        <v>0</v>
      </c>
    </row>
    <row r="414" spans="2:4" x14ac:dyDescent="0.25">
      <c r="B414" s="7">
        <v>2.0099999999999998</v>
      </c>
      <c r="C414" s="7">
        <v>0</v>
      </c>
      <c r="D414" s="7">
        <v>0</v>
      </c>
    </row>
    <row r="415" spans="2:4" x14ac:dyDescent="0.25">
      <c r="B415" s="7">
        <v>3.05</v>
      </c>
      <c r="C415" s="7">
        <v>0</v>
      </c>
      <c r="D415" s="7">
        <v>1</v>
      </c>
    </row>
    <row r="416" spans="2:4" x14ac:dyDescent="0.25">
      <c r="B416" s="7">
        <v>3.16</v>
      </c>
      <c r="C416" s="7">
        <v>0</v>
      </c>
      <c r="D416" s="7">
        <v>0</v>
      </c>
    </row>
    <row r="417" spans="2:4" x14ac:dyDescent="0.25">
      <c r="B417" s="7">
        <v>3.15</v>
      </c>
      <c r="C417" s="7">
        <v>0</v>
      </c>
      <c r="D417" s="7">
        <v>0</v>
      </c>
    </row>
    <row r="418" spans="2:4" x14ac:dyDescent="0.25">
      <c r="B418" s="7">
        <v>2.2400000000000002</v>
      </c>
      <c r="C418" s="7">
        <v>0</v>
      </c>
      <c r="D418" s="7">
        <v>1</v>
      </c>
    </row>
    <row r="419" spans="2:4" x14ac:dyDescent="0.25">
      <c r="B419" s="7">
        <v>3.41</v>
      </c>
      <c r="C419" s="7">
        <v>1</v>
      </c>
      <c r="D419" s="7">
        <v>0</v>
      </c>
    </row>
    <row r="420" spans="2:4" x14ac:dyDescent="0.25">
      <c r="B420" s="7">
        <v>2.75</v>
      </c>
      <c r="C420" s="7">
        <v>1</v>
      </c>
      <c r="D420" s="7">
        <v>0</v>
      </c>
    </row>
    <row r="421" spans="2:4" x14ac:dyDescent="0.25">
      <c r="B421" s="7">
        <v>2.99</v>
      </c>
      <c r="C421" s="7">
        <v>0</v>
      </c>
      <c r="D421" s="7">
        <v>0</v>
      </c>
    </row>
    <row r="422" spans="2:4" x14ac:dyDescent="0.25">
      <c r="B422" s="7">
        <v>3.04</v>
      </c>
      <c r="C422" s="7">
        <v>0</v>
      </c>
      <c r="D422" s="7">
        <v>0</v>
      </c>
    </row>
    <row r="423" spans="2:4" x14ac:dyDescent="0.25">
      <c r="B423" s="7">
        <v>2.1</v>
      </c>
      <c r="C423" s="7">
        <v>0</v>
      </c>
      <c r="D423" s="7">
        <v>0</v>
      </c>
    </row>
    <row r="424" spans="2:4" x14ac:dyDescent="0.25">
      <c r="B424" s="7">
        <v>2.9</v>
      </c>
      <c r="C424" s="7">
        <v>0</v>
      </c>
      <c r="D424" s="7">
        <v>0</v>
      </c>
    </row>
    <row r="425" spans="2:4" x14ac:dyDescent="0.25">
      <c r="B425" s="7">
        <v>2.72</v>
      </c>
      <c r="C425" s="7">
        <v>0</v>
      </c>
      <c r="D425" s="7">
        <v>0</v>
      </c>
    </row>
    <row r="426" spans="2:4" x14ac:dyDescent="0.25">
      <c r="B426" s="7">
        <v>2.69</v>
      </c>
      <c r="C426" s="7">
        <v>0</v>
      </c>
      <c r="D426" s="7">
        <v>0</v>
      </c>
    </row>
    <row r="427" spans="2:4" x14ac:dyDescent="0.25">
      <c r="B427" s="7">
        <v>3.2</v>
      </c>
      <c r="C427" s="7">
        <v>0</v>
      </c>
      <c r="D427" s="7">
        <v>0</v>
      </c>
    </row>
    <row r="428" spans="2:4" x14ac:dyDescent="0.25">
      <c r="B428" s="7">
        <v>2.85</v>
      </c>
      <c r="C428" s="7">
        <v>0</v>
      </c>
      <c r="D428" s="7">
        <v>0</v>
      </c>
    </row>
    <row r="429" spans="2:4" x14ac:dyDescent="0.25">
      <c r="B429" s="7">
        <v>2.46</v>
      </c>
      <c r="C429" s="7">
        <v>0</v>
      </c>
      <c r="D429" s="7">
        <v>0</v>
      </c>
    </row>
    <row r="430" spans="2:4" x14ac:dyDescent="0.25">
      <c r="B430" s="7">
        <v>2.4</v>
      </c>
      <c r="C430" s="7">
        <v>0</v>
      </c>
      <c r="D430" s="7">
        <v>0</v>
      </c>
    </row>
    <row r="431" spans="2:4" x14ac:dyDescent="0.25">
      <c r="B431" s="7">
        <v>3.14</v>
      </c>
      <c r="C431" s="7">
        <v>1</v>
      </c>
      <c r="D431" s="7">
        <v>0</v>
      </c>
    </row>
    <row r="432" spans="2:4" x14ac:dyDescent="0.25">
      <c r="B432" s="7">
        <v>2.4900000000000002</v>
      </c>
      <c r="C432" s="7">
        <v>0</v>
      </c>
      <c r="D432" s="7">
        <v>1</v>
      </c>
    </row>
    <row r="433" spans="2:4" x14ac:dyDescent="0.25">
      <c r="B433" s="7">
        <v>3.67</v>
      </c>
      <c r="C433" s="7">
        <v>1</v>
      </c>
      <c r="D433" s="7">
        <v>0</v>
      </c>
    </row>
    <row r="434" spans="2:4" x14ac:dyDescent="0.25">
      <c r="B434" s="7">
        <v>2.54</v>
      </c>
      <c r="C434" s="7">
        <v>0</v>
      </c>
      <c r="D434" s="7">
        <v>0</v>
      </c>
    </row>
    <row r="435" spans="2:4" x14ac:dyDescent="0.25">
      <c r="B435" s="7">
        <v>2.65</v>
      </c>
      <c r="C435" s="7">
        <v>0</v>
      </c>
      <c r="D435" s="7">
        <v>0</v>
      </c>
    </row>
    <row r="436" spans="2:4" x14ac:dyDescent="0.25">
      <c r="B436" s="7">
        <v>3.38</v>
      </c>
      <c r="C436" s="7">
        <v>0</v>
      </c>
      <c r="D436" s="7">
        <v>0</v>
      </c>
    </row>
    <row r="437" spans="2:4" x14ac:dyDescent="0.25">
      <c r="B437" s="7">
        <v>3.16</v>
      </c>
      <c r="C437" s="7">
        <v>0</v>
      </c>
      <c r="D437" s="7">
        <v>0</v>
      </c>
    </row>
    <row r="438" spans="2:4" x14ac:dyDescent="0.25">
      <c r="B438" s="7">
        <v>2.77</v>
      </c>
      <c r="C438" s="7">
        <v>0</v>
      </c>
      <c r="D438" s="7">
        <v>1</v>
      </c>
    </row>
    <row r="439" spans="2:4" x14ac:dyDescent="0.25">
      <c r="B439" s="7">
        <v>3.01</v>
      </c>
      <c r="C439" s="7">
        <v>0</v>
      </c>
      <c r="D439" s="7">
        <v>0</v>
      </c>
    </row>
    <row r="440" spans="2:4" x14ac:dyDescent="0.25">
      <c r="B440" s="7">
        <v>3.04</v>
      </c>
      <c r="C440" s="7">
        <v>0</v>
      </c>
      <c r="D440" s="7">
        <v>0</v>
      </c>
    </row>
    <row r="441" spans="2:4" x14ac:dyDescent="0.25">
      <c r="B441" s="7">
        <v>2.72</v>
      </c>
      <c r="C441" s="7">
        <v>0</v>
      </c>
      <c r="D441" s="7">
        <v>1</v>
      </c>
    </row>
    <row r="442" spans="2:4" x14ac:dyDescent="0.25">
      <c r="B442" s="7">
        <v>3.48</v>
      </c>
      <c r="C442" s="7">
        <v>0</v>
      </c>
      <c r="D442" s="7">
        <v>0</v>
      </c>
    </row>
    <row r="443" spans="2:4" x14ac:dyDescent="0.25">
      <c r="B443" s="7">
        <v>2.6</v>
      </c>
      <c r="C443" s="7">
        <v>0</v>
      </c>
      <c r="D443" s="7">
        <v>0</v>
      </c>
    </row>
    <row r="444" spans="2:4" x14ac:dyDescent="0.25">
      <c r="B444" s="7">
        <v>3.32</v>
      </c>
      <c r="C444" s="7">
        <v>0</v>
      </c>
      <c r="D444" s="7">
        <v>0</v>
      </c>
    </row>
    <row r="445" spans="2:4" x14ac:dyDescent="0.25">
      <c r="B445" s="7">
        <v>4</v>
      </c>
      <c r="C445" s="7">
        <v>1</v>
      </c>
      <c r="D445" s="7">
        <v>0</v>
      </c>
    </row>
    <row r="446" spans="2:4" x14ac:dyDescent="0.25">
      <c r="B446" s="7">
        <v>2.8</v>
      </c>
      <c r="C446" s="7">
        <v>0</v>
      </c>
      <c r="D446" s="7">
        <v>1</v>
      </c>
    </row>
    <row r="447" spans="2:4" x14ac:dyDescent="0.25">
      <c r="B447" s="7">
        <v>2.44</v>
      </c>
      <c r="C447" s="7">
        <v>0</v>
      </c>
      <c r="D447" s="7">
        <v>1</v>
      </c>
    </row>
    <row r="448" spans="2:4" x14ac:dyDescent="0.25">
      <c r="B448" s="7">
        <v>3.25</v>
      </c>
      <c r="C448" s="7">
        <v>0</v>
      </c>
      <c r="D448" s="7">
        <v>1</v>
      </c>
    </row>
    <row r="449" spans="2:4" x14ac:dyDescent="0.25">
      <c r="B449" s="7">
        <v>2.99</v>
      </c>
      <c r="C449" s="7">
        <v>0</v>
      </c>
      <c r="D449" s="7">
        <v>0</v>
      </c>
    </row>
    <row r="450" spans="2:4" x14ac:dyDescent="0.25">
      <c r="B450" s="7">
        <v>2.79</v>
      </c>
      <c r="C450" s="7">
        <v>1</v>
      </c>
      <c r="D450" s="7">
        <v>0</v>
      </c>
    </row>
    <row r="451" spans="2:4" x14ac:dyDescent="0.25">
      <c r="B451" s="7">
        <v>3.33</v>
      </c>
      <c r="C451" s="7">
        <v>0</v>
      </c>
      <c r="D451" s="7">
        <v>0</v>
      </c>
    </row>
    <row r="452" spans="2:4" x14ac:dyDescent="0.25">
      <c r="B452" s="7">
        <v>3.68</v>
      </c>
      <c r="C452" s="7">
        <v>1</v>
      </c>
      <c r="D452" s="7">
        <v>0</v>
      </c>
    </row>
    <row r="453" spans="2:4" x14ac:dyDescent="0.25">
      <c r="B453" s="7">
        <v>3.65</v>
      </c>
      <c r="C453" s="7">
        <v>1</v>
      </c>
      <c r="D453" s="7">
        <v>0</v>
      </c>
    </row>
    <row r="454" spans="2:4" x14ac:dyDescent="0.25">
      <c r="B454" s="7">
        <v>2.5</v>
      </c>
      <c r="C454" s="7">
        <v>0</v>
      </c>
      <c r="D454" s="7">
        <v>1</v>
      </c>
    </row>
    <row r="455" spans="2:4" x14ac:dyDescent="0.25">
      <c r="B455" s="7">
        <v>3.05</v>
      </c>
      <c r="C455" s="7">
        <v>0</v>
      </c>
      <c r="D455" s="7">
        <v>0</v>
      </c>
    </row>
    <row r="456" spans="2:4" x14ac:dyDescent="0.25">
      <c r="B456" s="7">
        <v>2.16</v>
      </c>
      <c r="C456" s="7">
        <v>0</v>
      </c>
      <c r="D456" s="7">
        <v>1</v>
      </c>
    </row>
    <row r="457" spans="2:4" x14ac:dyDescent="0.25">
      <c r="B457" s="7">
        <v>2.35</v>
      </c>
      <c r="C457" s="7">
        <v>0</v>
      </c>
      <c r="D457" s="7">
        <v>0</v>
      </c>
    </row>
    <row r="458" spans="2:4" x14ac:dyDescent="0.25">
      <c r="B458" s="7">
        <v>2.77</v>
      </c>
      <c r="C458" s="7">
        <v>0</v>
      </c>
      <c r="D458" s="7">
        <v>0</v>
      </c>
    </row>
    <row r="459" spans="2:4" x14ac:dyDescent="0.25">
      <c r="B459" s="7">
        <v>3.25</v>
      </c>
      <c r="C459" s="7">
        <v>0</v>
      </c>
      <c r="D459" s="7">
        <v>0</v>
      </c>
    </row>
    <row r="460" spans="2:4" x14ac:dyDescent="0.25">
      <c r="B460" s="7">
        <v>2.56</v>
      </c>
      <c r="C460" s="7">
        <v>0</v>
      </c>
      <c r="D460" s="7">
        <v>1</v>
      </c>
    </row>
    <row r="461" spans="2:4" x14ac:dyDescent="0.25">
      <c r="B461" s="7">
        <v>2.68</v>
      </c>
      <c r="C461" s="7">
        <v>0</v>
      </c>
      <c r="D461" s="7">
        <v>0</v>
      </c>
    </row>
    <row r="462" spans="2:4" x14ac:dyDescent="0.25">
      <c r="B462" s="7">
        <v>3.06</v>
      </c>
      <c r="C462" s="7">
        <v>0</v>
      </c>
      <c r="D462" s="7">
        <v>0</v>
      </c>
    </row>
    <row r="463" spans="2:4" x14ac:dyDescent="0.25">
      <c r="B463" s="7">
        <v>2.4700000000000002</v>
      </c>
      <c r="C463" s="7">
        <v>0</v>
      </c>
      <c r="D463" s="7">
        <v>0</v>
      </c>
    </row>
    <row r="464" spans="2:4" x14ac:dyDescent="0.25">
      <c r="B464" s="7">
        <v>2.35</v>
      </c>
      <c r="C464" s="7">
        <v>0</v>
      </c>
      <c r="D464" s="7">
        <v>0</v>
      </c>
    </row>
    <row r="465" spans="2:4" x14ac:dyDescent="0.25">
      <c r="B465" s="7">
        <v>2.95</v>
      </c>
      <c r="C465" s="7">
        <v>0</v>
      </c>
      <c r="D465" s="7">
        <v>0</v>
      </c>
    </row>
    <row r="466" spans="2:4" x14ac:dyDescent="0.25">
      <c r="B466" s="7">
        <v>2.83</v>
      </c>
      <c r="C466" s="7">
        <v>0</v>
      </c>
      <c r="D466" s="7">
        <v>1</v>
      </c>
    </row>
    <row r="467" spans="2:4" x14ac:dyDescent="0.25">
      <c r="B467" s="7">
        <v>2.57</v>
      </c>
      <c r="C467" s="7">
        <v>0</v>
      </c>
      <c r="D467" s="7">
        <v>0</v>
      </c>
    </row>
    <row r="468" spans="2:4" x14ac:dyDescent="0.25">
      <c r="B468" s="7">
        <v>2.4</v>
      </c>
      <c r="C468" s="7">
        <v>0</v>
      </c>
      <c r="D468" s="7">
        <v>0</v>
      </c>
    </row>
    <row r="469" spans="2:4" x14ac:dyDescent="0.25">
      <c r="B469" s="7">
        <v>3.31</v>
      </c>
      <c r="C469" s="7">
        <v>0</v>
      </c>
      <c r="D469" s="7">
        <v>0</v>
      </c>
    </row>
    <row r="470" spans="2:4" x14ac:dyDescent="0.25">
      <c r="B470" s="7">
        <v>2.46</v>
      </c>
      <c r="C470" s="7">
        <v>0</v>
      </c>
      <c r="D470" s="7">
        <v>0</v>
      </c>
    </row>
    <row r="471" spans="2:4" x14ac:dyDescent="0.25">
      <c r="B471" s="7">
        <v>2.14</v>
      </c>
      <c r="C471" s="7">
        <v>0</v>
      </c>
      <c r="D471" s="7">
        <v>0</v>
      </c>
    </row>
    <row r="472" spans="2:4" x14ac:dyDescent="0.25">
      <c r="B472" s="7">
        <v>3.41</v>
      </c>
      <c r="C472" s="7">
        <v>0</v>
      </c>
      <c r="D472" s="7">
        <v>1</v>
      </c>
    </row>
    <row r="473" spans="2:4" x14ac:dyDescent="0.25">
      <c r="B473" s="7">
        <v>3.03</v>
      </c>
      <c r="C473" s="7">
        <v>0</v>
      </c>
      <c r="D473" s="7">
        <v>0</v>
      </c>
    </row>
    <row r="474" spans="2:4" x14ac:dyDescent="0.25">
      <c r="B474" s="7">
        <v>2.81</v>
      </c>
      <c r="C474" s="7">
        <v>0</v>
      </c>
      <c r="D474" s="7">
        <v>1</v>
      </c>
    </row>
    <row r="475" spans="2:4" x14ac:dyDescent="0.25">
      <c r="B475" s="7">
        <v>2.42</v>
      </c>
      <c r="C475" s="7">
        <v>0</v>
      </c>
      <c r="D475" s="7">
        <v>0</v>
      </c>
    </row>
    <row r="476" spans="2:4" x14ac:dyDescent="0.25">
      <c r="B476" s="7">
        <v>2.08</v>
      </c>
      <c r="C476" s="7">
        <v>0</v>
      </c>
      <c r="D476" s="7">
        <v>0</v>
      </c>
    </row>
    <row r="477" spans="2:4" x14ac:dyDescent="0.25">
      <c r="B477" s="7">
        <v>3.61</v>
      </c>
      <c r="C477" s="7">
        <v>1</v>
      </c>
      <c r="D477" s="7">
        <v>0</v>
      </c>
    </row>
    <row r="478" spans="2:4" x14ac:dyDescent="0.25">
      <c r="B478" s="7">
        <v>2.86</v>
      </c>
      <c r="C478" s="7">
        <v>0</v>
      </c>
      <c r="D478" s="7">
        <v>0</v>
      </c>
    </row>
    <row r="479" spans="2:4" x14ac:dyDescent="0.25">
      <c r="B479" s="7">
        <v>2.15</v>
      </c>
      <c r="C479" s="7">
        <v>0</v>
      </c>
      <c r="D479" s="7">
        <v>0</v>
      </c>
    </row>
    <row r="480" spans="2:4" x14ac:dyDescent="0.25">
      <c r="B480" s="7">
        <v>2.63</v>
      </c>
      <c r="C480" s="7">
        <v>0</v>
      </c>
      <c r="D480" s="7">
        <v>0</v>
      </c>
    </row>
    <row r="481" spans="2:4" x14ac:dyDescent="0.25">
      <c r="B481" s="7">
        <v>2.8</v>
      </c>
      <c r="C481" s="7">
        <v>1</v>
      </c>
      <c r="D481" s="7">
        <v>1</v>
      </c>
    </row>
    <row r="482" spans="2:4" x14ac:dyDescent="0.25">
      <c r="B482" s="7">
        <v>2.16</v>
      </c>
      <c r="C482" s="7">
        <v>0</v>
      </c>
      <c r="D482" s="7">
        <v>0</v>
      </c>
    </row>
    <row r="483" spans="2:4" x14ac:dyDescent="0.25">
      <c r="B483" s="7">
        <v>2.61</v>
      </c>
      <c r="C483" s="7">
        <v>0</v>
      </c>
      <c r="D483" s="7">
        <v>0</v>
      </c>
    </row>
    <row r="484" spans="2:4" x14ac:dyDescent="0.25">
      <c r="B484" s="7">
        <v>2.71</v>
      </c>
      <c r="C484" s="7">
        <v>0</v>
      </c>
      <c r="D484" s="7">
        <v>1</v>
      </c>
    </row>
    <row r="485" spans="2:4" x14ac:dyDescent="0.25">
      <c r="B485" s="7">
        <v>3.65</v>
      </c>
      <c r="C485" s="7">
        <v>1</v>
      </c>
      <c r="D485" s="7">
        <v>0</v>
      </c>
    </row>
    <row r="486" spans="2:4" x14ac:dyDescent="0.25">
      <c r="B486" s="7">
        <v>2.65</v>
      </c>
      <c r="C486" s="7">
        <v>1</v>
      </c>
      <c r="D486" s="7">
        <v>1</v>
      </c>
    </row>
    <row r="487" spans="2:4" x14ac:dyDescent="0.25">
      <c r="B487" s="7">
        <v>3.1</v>
      </c>
      <c r="C487" s="7">
        <v>0</v>
      </c>
      <c r="D487" s="7">
        <v>0</v>
      </c>
    </row>
    <row r="488" spans="2:4" x14ac:dyDescent="0.25">
      <c r="B488" s="7">
        <v>2.63</v>
      </c>
      <c r="C488" s="7">
        <v>0</v>
      </c>
      <c r="D488" s="7">
        <v>1</v>
      </c>
    </row>
    <row r="489" spans="2:4" x14ac:dyDescent="0.25">
      <c r="B489" s="7">
        <v>2.36</v>
      </c>
      <c r="C489" s="7">
        <v>0</v>
      </c>
      <c r="D489" s="7">
        <v>0</v>
      </c>
    </row>
    <row r="490" spans="2:4" x14ac:dyDescent="0.25">
      <c r="B490" s="7">
        <v>2.52</v>
      </c>
      <c r="C490" s="7">
        <v>0</v>
      </c>
      <c r="D490" s="7">
        <v>0</v>
      </c>
    </row>
    <row r="491" spans="2:4" x14ac:dyDescent="0.25">
      <c r="B491" s="7">
        <v>2.74</v>
      </c>
      <c r="C491" s="7">
        <v>0</v>
      </c>
      <c r="D491" s="7">
        <v>1</v>
      </c>
    </row>
    <row r="492" spans="2:4" x14ac:dyDescent="0.25">
      <c r="B492" s="7">
        <v>2.0299999999999998</v>
      </c>
      <c r="C492" s="7">
        <v>0</v>
      </c>
      <c r="D492" s="7">
        <v>0</v>
      </c>
    </row>
    <row r="493" spans="2:4" x14ac:dyDescent="0.25">
      <c r="B493" s="7">
        <v>2.63</v>
      </c>
      <c r="C493" s="7">
        <v>0</v>
      </c>
      <c r="D493" s="7">
        <v>0</v>
      </c>
    </row>
    <row r="494" spans="2:4" x14ac:dyDescent="0.25">
      <c r="B494" s="7">
        <v>2.84</v>
      </c>
      <c r="C494" s="7">
        <v>1</v>
      </c>
      <c r="D494" s="7">
        <v>1</v>
      </c>
    </row>
    <row r="495" spans="2:4" x14ac:dyDescent="0.25">
      <c r="B495" s="7">
        <v>2.58</v>
      </c>
      <c r="C495" s="7">
        <v>0</v>
      </c>
      <c r="D495" s="7">
        <v>1</v>
      </c>
    </row>
    <row r="496" spans="2:4" x14ac:dyDescent="0.25">
      <c r="B496" s="7">
        <v>2.17</v>
      </c>
      <c r="C496" s="7">
        <v>0</v>
      </c>
      <c r="D496" s="7">
        <v>0</v>
      </c>
    </row>
    <row r="497" spans="2:4" x14ac:dyDescent="0.25">
      <c r="B497" s="7">
        <v>2.42</v>
      </c>
      <c r="C497" s="7">
        <v>0</v>
      </c>
      <c r="D497" s="7">
        <v>0</v>
      </c>
    </row>
    <row r="498" spans="2:4" x14ac:dyDescent="0.25">
      <c r="B498" s="7">
        <v>2.85</v>
      </c>
      <c r="C498" s="7">
        <v>0</v>
      </c>
      <c r="D498" s="7">
        <v>0</v>
      </c>
    </row>
    <row r="499" spans="2:4" x14ac:dyDescent="0.25">
      <c r="B499" s="7">
        <v>3.91</v>
      </c>
      <c r="C499" s="7">
        <v>1</v>
      </c>
      <c r="D499" s="7">
        <v>0</v>
      </c>
    </row>
    <row r="500" spans="2:4" x14ac:dyDescent="0.25">
      <c r="B500" s="7">
        <v>2.5499999999999998</v>
      </c>
      <c r="C500" s="7">
        <v>1</v>
      </c>
      <c r="D500" s="7">
        <v>0</v>
      </c>
    </row>
    <row r="501" spans="2:4" x14ac:dyDescent="0.25">
      <c r="B501" s="7">
        <v>2.72</v>
      </c>
      <c r="C501" s="7">
        <v>1</v>
      </c>
      <c r="D501" s="7">
        <v>0</v>
      </c>
    </row>
    <row r="502" spans="2:4" x14ac:dyDescent="0.25">
      <c r="B502" s="7">
        <v>2.65</v>
      </c>
      <c r="C502" s="7">
        <v>0</v>
      </c>
      <c r="D502" s="7">
        <v>0</v>
      </c>
    </row>
    <row r="503" spans="2:4" x14ac:dyDescent="0.25">
      <c r="B503" s="7">
        <v>3.41</v>
      </c>
      <c r="C503" s="7">
        <v>0</v>
      </c>
      <c r="D503" s="7">
        <v>0</v>
      </c>
    </row>
    <row r="504" spans="2:4" x14ac:dyDescent="0.25">
      <c r="B504" s="7">
        <v>2.5299999999999998</v>
      </c>
      <c r="C504" s="7">
        <v>0</v>
      </c>
      <c r="D504" s="7">
        <v>0</v>
      </c>
    </row>
    <row r="505" spans="2:4" x14ac:dyDescent="0.25">
      <c r="B505" s="7">
        <v>3.29</v>
      </c>
      <c r="C505" s="7">
        <v>0</v>
      </c>
      <c r="D505" s="7">
        <v>0</v>
      </c>
    </row>
    <row r="506" spans="2:4" x14ac:dyDescent="0.25">
      <c r="B506" s="7">
        <v>2.65</v>
      </c>
      <c r="C506" s="7">
        <v>0</v>
      </c>
      <c r="D506" s="7">
        <v>0</v>
      </c>
    </row>
    <row r="507" spans="2:4" x14ac:dyDescent="0.25">
      <c r="B507" s="7">
        <v>2.75</v>
      </c>
      <c r="C507" s="7">
        <v>0</v>
      </c>
      <c r="D507" s="7">
        <v>0</v>
      </c>
    </row>
    <row r="508" spans="2:4" x14ac:dyDescent="0.25">
      <c r="B508" s="7">
        <v>2.25</v>
      </c>
      <c r="C508" s="7">
        <v>0</v>
      </c>
      <c r="D508" s="7">
        <v>0</v>
      </c>
    </row>
    <row r="509" spans="2:4" x14ac:dyDescent="0.25">
      <c r="B509" s="7">
        <v>2.69</v>
      </c>
      <c r="C509" s="7">
        <v>0</v>
      </c>
      <c r="D509" s="7">
        <v>0</v>
      </c>
    </row>
    <row r="510" spans="2:4" x14ac:dyDescent="0.25">
      <c r="B510" s="7">
        <v>3.25</v>
      </c>
      <c r="C510" s="7">
        <v>1</v>
      </c>
      <c r="D510" s="7">
        <v>0</v>
      </c>
    </row>
    <row r="511" spans="2:4" x14ac:dyDescent="0.25">
      <c r="B511" s="7">
        <v>3.62</v>
      </c>
      <c r="C511" s="7">
        <v>1</v>
      </c>
      <c r="D511" s="7">
        <v>0</v>
      </c>
    </row>
    <row r="512" spans="2:4" x14ac:dyDescent="0.25">
      <c r="B512" s="7">
        <v>2.63</v>
      </c>
      <c r="C512" s="7">
        <v>0</v>
      </c>
      <c r="D512" s="7">
        <v>0</v>
      </c>
    </row>
    <row r="513" spans="2:4" x14ac:dyDescent="0.25">
      <c r="B513" s="7">
        <v>2.59</v>
      </c>
      <c r="C513" s="7">
        <v>1</v>
      </c>
      <c r="D513" s="7">
        <v>0</v>
      </c>
    </row>
    <row r="514" spans="2:4" x14ac:dyDescent="0.25">
      <c r="B514" s="7">
        <v>3.17</v>
      </c>
      <c r="C514" s="7">
        <v>0</v>
      </c>
      <c r="D514" s="7">
        <v>0</v>
      </c>
    </row>
    <row r="515" spans="2:4" x14ac:dyDescent="0.25">
      <c r="B515" s="7">
        <v>3.26</v>
      </c>
      <c r="C515" s="7">
        <v>0</v>
      </c>
      <c r="D515" s="7">
        <v>0</v>
      </c>
    </row>
    <row r="516" spans="2:4" x14ac:dyDescent="0.25">
      <c r="B516" s="7">
        <v>3.06</v>
      </c>
      <c r="C516" s="7">
        <v>0</v>
      </c>
      <c r="D516" s="7">
        <v>0</v>
      </c>
    </row>
    <row r="517" spans="2:4" x14ac:dyDescent="0.25">
      <c r="B517" s="7">
        <v>2.13</v>
      </c>
      <c r="C517" s="7">
        <v>0</v>
      </c>
      <c r="D517" s="7">
        <v>0</v>
      </c>
    </row>
    <row r="518" spans="2:4" x14ac:dyDescent="0.25">
      <c r="B518" s="7">
        <v>2.33</v>
      </c>
      <c r="C518" s="7">
        <v>0</v>
      </c>
      <c r="D518" s="7">
        <v>0</v>
      </c>
    </row>
    <row r="519" spans="2:4" x14ac:dyDescent="0.25">
      <c r="B519" s="7">
        <v>2.85</v>
      </c>
      <c r="C519" s="7">
        <v>0</v>
      </c>
      <c r="D519" s="7">
        <v>0</v>
      </c>
    </row>
    <row r="520" spans="2:4" x14ac:dyDescent="0.25">
      <c r="B520" s="7">
        <v>3.17</v>
      </c>
      <c r="C520" s="7">
        <v>0</v>
      </c>
      <c r="D520" s="7">
        <v>0</v>
      </c>
    </row>
  </sheetData>
  <mergeCells count="22">
    <mergeCell ref="B19:D19"/>
    <mergeCell ref="B5:C5"/>
    <mergeCell ref="D5:E5"/>
    <mergeCell ref="F5:G5"/>
    <mergeCell ref="B4:G4"/>
    <mergeCell ref="J4:L4"/>
    <mergeCell ref="B15:D15"/>
    <mergeCell ref="B16:D16"/>
    <mergeCell ref="B17:D17"/>
    <mergeCell ref="E10:G10"/>
    <mergeCell ref="E12:G12"/>
    <mergeCell ref="E13:G13"/>
    <mergeCell ref="E14:G14"/>
    <mergeCell ref="E15:G15"/>
    <mergeCell ref="E16:G16"/>
    <mergeCell ref="E17:G17"/>
    <mergeCell ref="B9:G9"/>
    <mergeCell ref="B10:D10"/>
    <mergeCell ref="B11:D11"/>
    <mergeCell ref="B12:D12"/>
    <mergeCell ref="B13:D13"/>
    <mergeCell ref="B14:D14"/>
  </mergeCells>
  <hyperlinks>
    <hyperlink ref="B5" location="'Data_Partition'!$B$21:$D$320" display="Training Data"/>
    <hyperlink ref="D5" location="'Data_Partition'!$B$321:$D$520" display="Validation Data"/>
    <hyperlink ref="F5" location="'Data_Partition'!$B$20:$D$520" display="All Dat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300"/>
  <sheetViews>
    <sheetView showGridLines="0" topLeftCell="A79" workbookViewId="0">
      <selection activeCell="I75" sqref="I75:I76"/>
    </sheetView>
  </sheetViews>
  <sheetFormatPr defaultRowHeight="15.75" x14ac:dyDescent="0.25"/>
  <cols>
    <col min="6" max="6" width="11.875" bestFit="1" customWidth="1"/>
    <col min="14" max="14" width="11.5" bestFit="1" customWidth="1"/>
  </cols>
  <sheetData>
    <row r="1" spans="2:59" ht="18.75" x14ac:dyDescent="0.3">
      <c r="B1" s="5" t="s">
        <v>72</v>
      </c>
      <c r="N1" t="s">
        <v>168</v>
      </c>
      <c r="AY1" s="7">
        <v>0.16903397659089944</v>
      </c>
      <c r="AZ1" s="7" t="str">
        <f>"0"</f>
        <v>0</v>
      </c>
      <c r="BA1" t="str">
        <f ca="1">IF((OFFSET($A$1, 1 - 1, 51 - 1)) &gt;= (OFFSET($A$1, 68 - 1, 7 - 1)), "1","0")</f>
        <v>0</v>
      </c>
      <c r="BB1">
        <f ca="1" xml:space="preserve"> IF( AND( OFFSET($A$1, 1 - 1, 52 - 1) = "1", OFFSET($A$1, 1 - 1, 53 - 1) = "1" ), 1, IF( AND( OFFSET($A$1, 1 - 1, 52 - 1) = "1", OFFSET($A$1, 1 - 1, 53 - 1) = "0" ), 2, IF( AND( OFFSET($A$1, 1 - 1, 52 - 1) = "0", OFFSET($A$1, 1 - 1, 53 - 1) = "1" ), 3, 4 ) ) )</f>
        <v>4</v>
      </c>
      <c r="BD1" s="7">
        <v>0.20524334548751555</v>
      </c>
      <c r="BE1" s="7" t="str">
        <f>"0"</f>
        <v>0</v>
      </c>
      <c r="BF1" t="str">
        <f ca="1">IF((OFFSET($A$1, 1 - 1, 56 - 1)) &gt;= (OFFSET($A$1, 92 - 1, 7 - 1)), "1","0")</f>
        <v>0</v>
      </c>
      <c r="BG1">
        <f ca="1" xml:space="preserve"> IF( AND( OFFSET($A$1, 1 - 1, 57 - 1) = "1", OFFSET($A$1, 1 - 1, 58 - 1) = "1" ), 1, IF( AND( OFFSET($A$1, 1 - 1, 57 - 1) = "1", OFFSET($A$1, 1 - 1, 58 - 1) = "0" ), 2, IF( AND( OFFSET($A$1, 1 - 1, 57 - 1) = "0", OFFSET($A$1, 1 - 1, 58 - 1) = "1" ), 3, 4 ) ) )</f>
        <v>4</v>
      </c>
    </row>
    <row r="2" spans="2:59" x14ac:dyDescent="0.25">
      <c r="AY2" s="7">
        <v>0.20524334548751555</v>
      </c>
      <c r="AZ2" s="7" t="str">
        <f>"0"</f>
        <v>0</v>
      </c>
      <c r="BA2" t="str">
        <f ca="1">IF((OFFSET($A$1, 2 - 1, 51 - 1)) &gt;= (OFFSET($A$1, 68 - 1, 7 - 1)), "1","0")</f>
        <v>0</v>
      </c>
      <c r="BB2">
        <f ca="1" xml:space="preserve"> IF( AND( OFFSET($A$1, 2 - 1, 52 - 1) = "1", OFFSET($A$1, 2 - 1, 53 - 1) = "1" ), 1, IF( AND( OFFSET($A$1, 2 - 1, 52 - 1) = "1", OFFSET($A$1, 2 - 1, 53 - 1) = "0" ), 2, IF( AND( OFFSET($A$1, 2 - 1, 52 - 1) = "0", OFFSET($A$1, 2 - 1, 53 - 1) = "1" ), 3, 4 ) ) )</f>
        <v>4</v>
      </c>
      <c r="BD2" s="7">
        <v>0.20524334548751555</v>
      </c>
      <c r="BE2" s="7" t="str">
        <f>"0"</f>
        <v>0</v>
      </c>
      <c r="BF2" t="str">
        <f ca="1">IF((OFFSET($A$1, 2 - 1, 56 - 1)) &gt;= (OFFSET($A$1, 92 - 1, 7 - 1)), "1","0")</f>
        <v>0</v>
      </c>
      <c r="BG2">
        <f ca="1" xml:space="preserve"> IF( AND( OFFSET($A$1, 2 - 1, 57 - 1) = "1", OFFSET($A$1, 2 - 1, 58 - 1) = "1" ), 1, IF( AND( OFFSET($A$1, 2 - 1, 57 - 1) = "1", OFFSET($A$1, 2 - 1, 58 - 1) = "0" ), 2, IF( AND( OFFSET($A$1, 2 - 1, 57 - 1) = "0", OFFSET($A$1, 2 - 1, 58 - 1) = "1" ), 3, 4 ) ) )</f>
        <v>4</v>
      </c>
    </row>
    <row r="3" spans="2:59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Y3" s="7">
        <v>0.20524334548751555</v>
      </c>
      <c r="AZ3" s="7" t="str">
        <f>"1"</f>
        <v>1</v>
      </c>
      <c r="BA3" t="str">
        <f ca="1">IF((OFFSET($A$1, 3 - 1, 51 - 1)) &gt;= (OFFSET($A$1, 68 - 1, 7 - 1)), "1","0")</f>
        <v>0</v>
      </c>
      <c r="BB3">
        <f ca="1" xml:space="preserve"> IF( AND( OFFSET($A$1, 3 - 1, 52 - 1) = "1", OFFSET($A$1, 3 - 1, 53 - 1) = "1" ), 1, IF( AND( OFFSET($A$1, 3 - 1, 52 - 1) = "1", OFFSET($A$1, 3 - 1, 53 - 1) = "0" ), 2, IF( AND( OFFSET($A$1, 3 - 1, 52 - 1) = "0", OFFSET($A$1, 3 - 1, 53 - 1) = "1" ), 3, 4 ) ) )</f>
        <v>2</v>
      </c>
      <c r="BD3" s="7">
        <v>0.20524334548751555</v>
      </c>
      <c r="BE3" s="7" t="str">
        <f>"0"</f>
        <v>0</v>
      </c>
      <c r="BF3" t="str">
        <f ca="1">IF((OFFSET($A$1, 3 - 1, 56 - 1)) &gt;= (OFFSET($A$1, 92 - 1, 7 - 1)), "1","0")</f>
        <v>0</v>
      </c>
      <c r="BG3">
        <f ca="1" xml:space="preserve"> IF( AND( OFFSET($A$1, 3 - 1, 57 - 1) = "1", OFFSET($A$1, 3 - 1, 58 - 1) = "1" ), 1, IF( AND( OFFSET($A$1, 3 - 1, 57 - 1) = "1", OFFSET($A$1, 3 - 1, 58 - 1) = "0" ), 2, IF( AND( OFFSET($A$1, 3 - 1, 57 - 1) = "0", OFFSET($A$1, 3 - 1, 58 - 1) = "1" ), 3, 4 ) ) )</f>
        <v>4</v>
      </c>
    </row>
    <row r="4" spans="2:59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67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Y4" s="7">
        <v>0.20524334548751555</v>
      </c>
      <c r="AZ4" s="7" t="str">
        <f>"0"</f>
        <v>0</v>
      </c>
      <c r="BA4" t="str">
        <f ca="1">IF((OFFSET($A$1, 4 - 1, 51 - 1)) &gt;= (OFFSET($A$1, 68 - 1, 7 - 1)), "1","0")</f>
        <v>0</v>
      </c>
      <c r="BB4">
        <f ca="1" xml:space="preserve"> IF( AND( OFFSET($A$1, 4 - 1, 52 - 1) = "1", OFFSET($A$1, 4 - 1, 53 - 1) = "1" ), 1, IF( AND( OFFSET($A$1, 4 - 1, 52 - 1) = "1", OFFSET($A$1, 4 - 1, 53 - 1) = "0" ), 2, IF( AND( OFFSET($A$1, 4 - 1, 52 - 1) = "0", OFFSET($A$1, 4 - 1, 53 - 1) = "1" ), 3, 4 ) ) )</f>
        <v>4</v>
      </c>
      <c r="BD4" s="7">
        <v>0.16903397659089944</v>
      </c>
      <c r="BE4" s="7" t="str">
        <f>"0"</f>
        <v>0</v>
      </c>
      <c r="BF4" t="str">
        <f ca="1">IF((OFFSET($A$1, 4 - 1, 56 - 1)) &gt;= (OFFSET($A$1, 92 - 1, 7 - 1)), "1","0")</f>
        <v>0</v>
      </c>
      <c r="BG4">
        <f ca="1" xml:space="preserve"> IF( AND( OFFSET($A$1, 4 - 1, 57 - 1) = "1", OFFSET($A$1, 4 - 1, 58 - 1) = "1" ), 1, IF( AND( OFFSET($A$1, 4 - 1, 57 - 1) = "1", OFFSET($A$1, 4 - 1, 58 - 1) = "0" ), 2, IF( AND( OFFSET($A$1, 4 - 1, 57 - 1) = "0", OFFSET($A$1, 4 - 1, 58 - 1) = "1" ), 3, 4 ) ) )</f>
        <v>4</v>
      </c>
    </row>
    <row r="5" spans="2:59" x14ac:dyDescent="0.25">
      <c r="B5" s="23" t="s">
        <v>68</v>
      </c>
      <c r="C5" s="19"/>
      <c r="D5" s="23" t="s">
        <v>69</v>
      </c>
      <c r="E5" s="19"/>
      <c r="F5" s="23" t="s">
        <v>70</v>
      </c>
      <c r="G5" s="19"/>
      <c r="H5" s="17"/>
      <c r="I5" s="19"/>
      <c r="J5" s="17"/>
      <c r="K5" s="19"/>
      <c r="N5" s="7">
        <v>0</v>
      </c>
      <c r="O5" s="7">
        <v>0</v>
      </c>
      <c r="P5" s="7">
        <v>16</v>
      </c>
      <c r="Q5" s="7">
        <v>16</v>
      </c>
      <c r="AY5" s="7">
        <v>0.20524334548751555</v>
      </c>
      <c r="AZ5" s="7" t="str">
        <f>"1"</f>
        <v>1</v>
      </c>
      <c r="BA5" t="str">
        <f ca="1">IF((OFFSET($A$1, 5 - 1, 51 - 1)) &gt;= (OFFSET($A$1, 68 - 1, 7 - 1)), "1","0")</f>
        <v>0</v>
      </c>
      <c r="BB5">
        <f ca="1" xml:space="preserve"> IF( AND( OFFSET($A$1, 5 - 1, 52 - 1) = "1", OFFSET($A$1, 5 - 1, 53 - 1) = "1" ), 1, IF( AND( OFFSET($A$1, 5 - 1, 52 - 1) = "1", OFFSET($A$1, 5 - 1, 53 - 1) = "0" ), 2, IF( AND( OFFSET($A$1, 5 - 1, 52 - 1) = "0", OFFSET($A$1, 5 - 1, 53 - 1) = "1" ), 3, 4 ) ) )</f>
        <v>2</v>
      </c>
      <c r="BD5" s="7">
        <v>0.16903397659089944</v>
      </c>
      <c r="BE5" s="7" t="str">
        <f>"0"</f>
        <v>0</v>
      </c>
      <c r="BF5" t="str">
        <f ca="1">IF((OFFSET($A$1, 5 - 1, 56 - 1)) &gt;= (OFFSET($A$1, 92 - 1, 7 - 1)), "1","0")</f>
        <v>0</v>
      </c>
      <c r="BG5">
        <f ca="1" xml:space="preserve"> IF( AND( OFFSET($A$1, 5 - 1, 57 - 1) = "1", OFFSET($A$1, 5 - 1, 58 - 1) = "1" ), 1, IF( AND( OFFSET($A$1, 5 - 1, 57 - 1) = "1", OFFSET($A$1, 5 - 1, 58 - 1) = "0" ), 2, IF( AND( OFFSET($A$1, 5 - 1, 57 - 1) = "0", OFFSET($A$1, 5 - 1, 58 - 1) = "1" ), 3, 4 ) ) )</f>
        <v>4</v>
      </c>
    </row>
    <row r="6" spans="2:59" x14ac:dyDescent="0.25">
      <c r="AY6" s="7">
        <v>0.20524334548751555</v>
      </c>
      <c r="AZ6" s="7" t="str">
        <f>"0"</f>
        <v>0</v>
      </c>
      <c r="BA6" t="str">
        <f ca="1">IF((OFFSET($A$1, 6 - 1, 51 - 1)) &gt;= (OFFSET($A$1, 68 - 1, 7 - 1)), "1","0")</f>
        <v>0</v>
      </c>
      <c r="BB6">
        <f ca="1" xml:space="preserve"> IF( AND( OFFSET($A$1, 6 - 1, 52 - 1) = "1", OFFSET($A$1, 6 - 1, 53 - 1) = "1" ), 1, IF( AND( OFFSET($A$1, 6 - 1, 52 - 1) = "1", OFFSET($A$1, 6 - 1, 53 - 1) = "0" ), 2, IF( AND( OFFSET($A$1, 6 - 1, 52 - 1) = "0", OFFSET($A$1, 6 - 1, 53 - 1) = "1" ), 3, 4 ) ) )</f>
        <v>4</v>
      </c>
      <c r="BD6" s="7">
        <v>0.20524334548751555</v>
      </c>
      <c r="BE6" s="7" t="str">
        <f>"0"</f>
        <v>0</v>
      </c>
      <c r="BF6" t="str">
        <f ca="1">IF((OFFSET($A$1, 6 - 1, 56 - 1)) &gt;= (OFFSET($A$1, 92 - 1, 7 - 1)), "1","0")</f>
        <v>0</v>
      </c>
      <c r="BG6">
        <f ca="1" xml:space="preserve"> IF( AND( OFFSET($A$1, 6 - 1, 57 - 1) = "1", OFFSET($A$1, 6 - 1, 58 - 1) = "1" ), 1, IF( AND( OFFSET($A$1, 6 - 1, 57 - 1) = "1", OFFSET($A$1, 6 - 1, 58 - 1) = "0" ), 2, IF( AND( OFFSET($A$1, 6 - 1, 57 - 1) = "0", OFFSET($A$1, 6 - 1, 58 - 1) = "1" ), 3, 4 ) ) )</f>
        <v>4</v>
      </c>
    </row>
    <row r="7" spans="2:59" x14ac:dyDescent="0.25">
      <c r="AY7" s="7">
        <v>0.20524334548751555</v>
      </c>
      <c r="AZ7" s="7" t="str">
        <f>"0"</f>
        <v>0</v>
      </c>
      <c r="BA7" t="str">
        <f ca="1">IF((OFFSET($A$1, 7 - 1, 51 - 1)) &gt;= (OFFSET($A$1, 68 - 1, 7 - 1)), "1","0")</f>
        <v>0</v>
      </c>
      <c r="BB7">
        <f ca="1" xml:space="preserve"> IF( AND( OFFSET($A$1, 7 - 1, 52 - 1) = "1", OFFSET($A$1, 7 - 1, 53 - 1) = "1" ), 1, IF( AND( OFFSET($A$1, 7 - 1, 52 - 1) = "1", OFFSET($A$1, 7 - 1, 53 - 1) = "0" ), 2, IF( AND( OFFSET($A$1, 7 - 1, 52 - 1) = "0", OFFSET($A$1, 7 - 1, 53 - 1) = "1" ), 3, 4 ) ) )</f>
        <v>4</v>
      </c>
      <c r="BD7" s="7">
        <v>0.16903397659089944</v>
      </c>
      <c r="BE7" s="7" t="str">
        <f>"1"</f>
        <v>1</v>
      </c>
      <c r="BF7" t="str">
        <f ca="1">IF((OFFSET($A$1, 7 - 1, 56 - 1)) &gt;= (OFFSET($A$1, 92 - 1, 7 - 1)), "1","0")</f>
        <v>0</v>
      </c>
      <c r="BG7">
        <f ca="1" xml:space="preserve"> IF( AND( OFFSET($A$1, 7 - 1, 57 - 1) = "1", OFFSET($A$1, 7 - 1, 58 - 1) = "1" ), 1, IF( AND( OFFSET($A$1, 7 - 1, 57 - 1) = "1", OFFSET($A$1, 7 - 1, 58 - 1) = "0" ), 2, IF( AND( OFFSET($A$1, 7 - 1, 57 - 1) = "0", OFFSET($A$1, 7 - 1, 58 - 1) = "1" ), 3, 4 ) ) )</f>
        <v>2</v>
      </c>
    </row>
    <row r="8" spans="2:59" x14ac:dyDescent="0.25">
      <c r="AY8" s="7">
        <v>0.20524334548751555</v>
      </c>
      <c r="AZ8" s="7" t="str">
        <f>"1"</f>
        <v>1</v>
      </c>
      <c r="BA8" t="str">
        <f ca="1">IF((OFFSET($A$1, 8 - 1, 51 - 1)) &gt;= (OFFSET($A$1, 68 - 1, 7 - 1)), "1","0")</f>
        <v>0</v>
      </c>
      <c r="BB8">
        <f ca="1" xml:space="preserve"> IF( AND( OFFSET($A$1, 8 - 1, 52 - 1) = "1", OFFSET($A$1, 8 - 1, 53 - 1) = "1" ), 1, IF( AND( OFFSET($A$1, 8 - 1, 52 - 1) = "1", OFFSET($A$1, 8 - 1, 53 - 1) = "0" ), 2, IF( AND( OFFSET($A$1, 8 - 1, 52 - 1) = "0", OFFSET($A$1, 8 - 1, 53 - 1) = "1" ), 3, 4 ) ) )</f>
        <v>2</v>
      </c>
      <c r="BD8" s="7">
        <v>0.16903397659089944</v>
      </c>
      <c r="BE8" s="7" t="str">
        <f>"0"</f>
        <v>0</v>
      </c>
      <c r="BF8" t="str">
        <f ca="1">IF((OFFSET($A$1, 8 - 1, 56 - 1)) &gt;= (OFFSET($A$1, 92 - 1, 7 - 1)), "1","0")</f>
        <v>0</v>
      </c>
      <c r="BG8">
        <f ca="1" xml:space="preserve"> IF( AND( OFFSET($A$1, 8 - 1, 57 - 1) = "1", OFFSET($A$1, 8 - 1, 58 - 1) = "1" ), 1, IF( AND( OFFSET($A$1, 8 - 1, 57 - 1) = "1", OFFSET($A$1, 8 - 1, 58 - 1) = "0" ), 2, IF( AND( OFFSET($A$1, 8 - 1, 57 - 1) = "0", OFFSET($A$1, 8 - 1, 58 - 1) = "1" ), 3, 4 ) ) )</f>
        <v>4</v>
      </c>
    </row>
    <row r="9" spans="2:59" x14ac:dyDescent="0.25">
      <c r="AY9" s="7">
        <v>0.20524334548751555</v>
      </c>
      <c r="AZ9" s="7" t="str">
        <f>"0"</f>
        <v>0</v>
      </c>
      <c r="BA9" t="str">
        <f ca="1">IF((OFFSET($A$1, 9 - 1, 51 - 1)) &gt;= (OFFSET($A$1, 68 - 1, 7 - 1)), "1","0")</f>
        <v>0</v>
      </c>
      <c r="BB9">
        <f ca="1" xml:space="preserve"> IF( AND( OFFSET($A$1, 9 - 1, 52 - 1) = "1", OFFSET($A$1, 9 - 1, 53 - 1) = "1" ), 1, IF( AND( OFFSET($A$1, 9 - 1, 52 - 1) = "1", OFFSET($A$1, 9 - 1, 53 - 1) = "0" ), 2, IF( AND( OFFSET($A$1, 9 - 1, 52 - 1) = "0", OFFSET($A$1, 9 - 1, 53 - 1) = "1" ), 3, 4 ) ) )</f>
        <v>4</v>
      </c>
      <c r="BD9" s="7">
        <v>0.20524334548751555</v>
      </c>
      <c r="BE9" s="7" t="str">
        <f>"0"</f>
        <v>0</v>
      </c>
      <c r="BF9" t="str">
        <f ca="1">IF((OFFSET($A$1, 9 - 1, 56 - 1)) &gt;= (OFFSET($A$1, 92 - 1, 7 - 1)), "1","0")</f>
        <v>0</v>
      </c>
      <c r="BG9">
        <f ca="1" xml:space="preserve"> IF( AND( OFFSET($A$1, 9 - 1, 57 - 1) = "1", OFFSET($A$1, 9 - 1, 58 - 1) = "1" ), 1, IF( AND( OFFSET($A$1, 9 - 1, 57 - 1) = "1", OFFSET($A$1, 9 - 1, 58 - 1) = "0" ), 2, IF( AND( OFFSET($A$1, 9 - 1, 57 - 1) = "0", OFFSET($A$1, 9 - 1, 58 - 1) = "1" ), 3, 4 ) ) )</f>
        <v>4</v>
      </c>
    </row>
    <row r="10" spans="2:59" ht="18.75" x14ac:dyDescent="0.3">
      <c r="B10" s="26" t="s">
        <v>62</v>
      </c>
      <c r="AY10" s="7">
        <v>0.20524334548751555</v>
      </c>
      <c r="AZ10" s="7" t="str">
        <f>"0"</f>
        <v>0</v>
      </c>
      <c r="BA10" t="str">
        <f ca="1">IF((OFFSET($A$1, 10 - 1, 51 - 1)) &gt;= (OFFSET($A$1, 68 - 1, 7 - 1)), "1","0")</f>
        <v>0</v>
      </c>
      <c r="BB10">
        <f ca="1" xml:space="preserve"> IF( AND( OFFSET($A$1, 10 - 1, 52 - 1) = "1", OFFSET($A$1, 10 - 1, 53 - 1) = "1" ), 1, IF( AND( OFFSET($A$1, 10 - 1, 52 - 1) = "1", OFFSET($A$1, 10 - 1, 53 - 1) = "0" ), 2, IF( AND( OFFSET($A$1, 10 - 1, 52 - 1) = "0", OFFSET($A$1, 10 - 1, 53 - 1) = "1" ), 3, 4 ) ) )</f>
        <v>4</v>
      </c>
      <c r="BD10" s="7">
        <v>0.20524334548751555</v>
      </c>
      <c r="BE10" s="7" t="str">
        <f>"0"</f>
        <v>0</v>
      </c>
      <c r="BF10" t="str">
        <f ca="1">IF((OFFSET($A$1, 10 - 1, 56 - 1)) &gt;= (OFFSET($A$1, 92 - 1, 7 - 1)), "1","0")</f>
        <v>0</v>
      </c>
      <c r="BG10">
        <f ca="1" xml:space="preserve"> IF( AND( OFFSET($A$1, 10 - 1, 57 - 1) = "1", OFFSET($A$1, 10 - 1, 58 - 1) = "1" ), 1, IF( AND( OFFSET($A$1, 10 - 1, 57 - 1) = "1", OFFSET($A$1, 10 - 1, 58 - 1) = "0" ), 2, IF( AND( OFFSET($A$1, 10 - 1, 57 - 1) = "0", OFFSET($A$1, 10 - 1, 58 - 1) = "1" ), 3, 4 ) ) )</f>
        <v>4</v>
      </c>
    </row>
    <row r="11" spans="2:59" x14ac:dyDescent="0.25">
      <c r="AY11" s="7">
        <v>0.20524334548751555</v>
      </c>
      <c r="AZ11" s="7" t="str">
        <f>"0"</f>
        <v>0</v>
      </c>
      <c r="BA11" t="str">
        <f ca="1">IF((OFFSET($A$1, 11 - 1, 51 - 1)) &gt;= (OFFSET($A$1, 68 - 1, 7 - 1)), "1","0")</f>
        <v>0</v>
      </c>
      <c r="BB11">
        <f ca="1" xml:space="preserve"> IF( AND( OFFSET($A$1, 11 - 1, 52 - 1) = "1", OFFSET($A$1, 11 - 1, 53 - 1) = "1" ), 1, IF( AND( OFFSET($A$1, 11 - 1, 52 - 1) = "1", OFFSET($A$1, 11 - 1, 53 - 1) = "0" ), 2, IF( AND( OFFSET($A$1, 11 - 1, 52 - 1) = "0", OFFSET($A$1, 11 - 1, 53 - 1) = "1" ), 3, 4 ) ) )</f>
        <v>4</v>
      </c>
      <c r="BD11" s="7">
        <v>0.20524334548751555</v>
      </c>
      <c r="BE11" s="7" t="str">
        <f>"0"</f>
        <v>0</v>
      </c>
      <c r="BF11" t="str">
        <f ca="1">IF((OFFSET($A$1, 11 - 1, 56 - 1)) &gt;= (OFFSET($A$1, 92 - 1, 7 - 1)), "1","0")</f>
        <v>0</v>
      </c>
      <c r="BG11">
        <f ca="1" xml:space="preserve"> IF( AND( OFFSET($A$1, 11 - 1, 57 - 1) = "1", OFFSET($A$1, 11 - 1, 58 - 1) = "1" ), 1, IF( AND( OFFSET($A$1, 11 - 1, 57 - 1) = "1", OFFSET($A$1, 11 - 1, 58 - 1) = "0" ), 2, IF( AND( OFFSET($A$1, 11 - 1, 57 - 1) = "0", OFFSET($A$1, 11 - 1, 58 - 1) = "1" ), 3, 4 ) ) )</f>
        <v>4</v>
      </c>
    </row>
    <row r="12" spans="2:59" x14ac:dyDescent="0.25">
      <c r="C12" s="11" t="s">
        <v>10</v>
      </c>
      <c r="D12" s="12"/>
      <c r="E12" s="12"/>
      <c r="F12" s="12"/>
      <c r="G12" s="12"/>
      <c r="H12" s="12"/>
      <c r="I12" s="12"/>
      <c r="J12" s="12"/>
      <c r="K12" s="13"/>
      <c r="AY12" s="7">
        <v>0.20524334548751555</v>
      </c>
      <c r="AZ12" s="7" t="str">
        <f>"0"</f>
        <v>0</v>
      </c>
      <c r="BA12" t="str">
        <f ca="1">IF((OFFSET($A$1, 12 - 1, 51 - 1)) &gt;= (OFFSET($A$1, 68 - 1, 7 - 1)), "1","0")</f>
        <v>0</v>
      </c>
      <c r="BB12">
        <f ca="1" xml:space="preserve"> IF( AND( OFFSET($A$1, 12 - 1, 52 - 1) = "1", OFFSET($A$1, 12 - 1, 53 - 1) = "1" ), 1, IF( AND( OFFSET($A$1, 12 - 1, 52 - 1) = "1", OFFSET($A$1, 12 - 1, 53 - 1) = "0" ), 2, IF( AND( OFFSET($A$1, 12 - 1, 52 - 1) = "0", OFFSET($A$1, 12 - 1, 53 - 1) = "1" ), 3, 4 ) ) )</f>
        <v>4</v>
      </c>
      <c r="BD12" s="7">
        <v>0.20524334548751555</v>
      </c>
      <c r="BE12" s="7" t="str">
        <f>"0"</f>
        <v>0</v>
      </c>
      <c r="BF12" t="str">
        <f ca="1">IF((OFFSET($A$1, 12 - 1, 56 - 1)) &gt;= (OFFSET($A$1, 92 - 1, 7 - 1)), "1","0")</f>
        <v>0</v>
      </c>
      <c r="BG12">
        <f ca="1" xml:space="preserve"> IF( AND( OFFSET($A$1, 12 - 1, 57 - 1) = "1", OFFSET($A$1, 12 - 1, 58 - 1) = "1" ), 1, IF( AND( OFFSET($A$1, 12 - 1, 57 - 1) = "1", OFFSET($A$1, 12 - 1, 58 - 1) = "0" ), 2, IF( AND( OFFSET($A$1, 12 - 1, 57 - 1) = "0", OFFSET($A$1, 12 - 1, 58 - 1) = "1" ), 3, 4 ) ) )</f>
        <v>4</v>
      </c>
    </row>
    <row r="13" spans="2:59" x14ac:dyDescent="0.25">
      <c r="C13" s="14" t="s">
        <v>73</v>
      </c>
      <c r="D13" s="15"/>
      <c r="E13" s="15"/>
      <c r="F13" s="16"/>
      <c r="G13" s="20" t="s">
        <v>74</v>
      </c>
      <c r="H13" s="21"/>
      <c r="I13" s="21"/>
      <c r="J13" s="21"/>
      <c r="K13" s="22"/>
      <c r="AY13" s="7">
        <v>0.20524334548751555</v>
      </c>
      <c r="AZ13" s="7" t="str">
        <f>"0"</f>
        <v>0</v>
      </c>
      <c r="BA13" t="str">
        <f ca="1">IF((OFFSET($A$1, 13 - 1, 51 - 1)) &gt;= (OFFSET($A$1, 68 - 1, 7 - 1)), "1","0")</f>
        <v>0</v>
      </c>
      <c r="BB13">
        <f ca="1" xml:space="preserve"> IF( AND( OFFSET($A$1, 13 - 1, 52 - 1) = "1", OFFSET($A$1, 13 - 1, 53 - 1) = "1" ), 1, IF( AND( OFFSET($A$1, 13 - 1, 52 - 1) = "1", OFFSET($A$1, 13 - 1, 53 - 1) = "0" ), 2, IF( AND( OFFSET($A$1, 13 - 1, 52 - 1) = "0", OFFSET($A$1, 13 - 1, 53 - 1) = "1" ), 3, 4 ) ) )</f>
        <v>4</v>
      </c>
      <c r="BD13" s="7">
        <v>0.20524334548751555</v>
      </c>
      <c r="BE13" s="7" t="str">
        <f>"0"</f>
        <v>0</v>
      </c>
      <c r="BF13" t="str">
        <f ca="1">IF((OFFSET($A$1, 13 - 1, 56 - 1)) &gt;= (OFFSET($A$1, 92 - 1, 7 - 1)), "1","0")</f>
        <v>0</v>
      </c>
      <c r="BG13">
        <f ca="1" xml:space="preserve"> IF( AND( OFFSET($A$1, 13 - 1, 57 - 1) = "1", OFFSET($A$1, 13 - 1, 58 - 1) = "1" ), 1, IF( AND( OFFSET($A$1, 13 - 1, 57 - 1) = "1", OFFSET($A$1, 13 - 1, 58 - 1) = "0" ), 2, IF( AND( OFFSET($A$1, 13 - 1, 57 - 1) = "0", OFFSET($A$1, 13 - 1, 58 - 1) = "1" ), 3, 4 ) ) )</f>
        <v>4</v>
      </c>
    </row>
    <row r="14" spans="2:59" x14ac:dyDescent="0.25">
      <c r="C14" s="14" t="s">
        <v>75</v>
      </c>
      <c r="D14" s="15"/>
      <c r="E14" s="15"/>
      <c r="F14" s="16"/>
      <c r="G14" s="20" t="s">
        <v>76</v>
      </c>
      <c r="H14" s="21"/>
      <c r="I14" s="21"/>
      <c r="J14" s="21"/>
      <c r="K14" s="22"/>
      <c r="AY14" s="7">
        <v>0.20524334548751555</v>
      </c>
      <c r="AZ14" s="7" t="str">
        <f>"1"</f>
        <v>1</v>
      </c>
      <c r="BA14" t="str">
        <f ca="1">IF((OFFSET($A$1, 14 - 1, 51 - 1)) &gt;= (OFFSET($A$1, 68 - 1, 7 - 1)), "1","0")</f>
        <v>0</v>
      </c>
      <c r="BB14">
        <f ca="1" xml:space="preserve"> IF( AND( OFFSET($A$1, 14 - 1, 52 - 1) = "1", OFFSET($A$1, 14 - 1, 53 - 1) = "1" ), 1, IF( AND( OFFSET($A$1, 14 - 1, 52 - 1) = "1", OFFSET($A$1, 14 - 1, 53 - 1) = "0" ), 2, IF( AND( OFFSET($A$1, 14 - 1, 52 - 1) = "0", OFFSET($A$1, 14 - 1, 53 - 1) = "1" ), 3, 4 ) ) )</f>
        <v>2</v>
      </c>
      <c r="BD14" s="7">
        <v>0.20524334548751555</v>
      </c>
      <c r="BE14" s="7" t="str">
        <f>"0"</f>
        <v>0</v>
      </c>
      <c r="BF14" t="str">
        <f ca="1">IF((OFFSET($A$1, 14 - 1, 56 - 1)) &gt;= (OFFSET($A$1, 92 - 1, 7 - 1)), "1","0")</f>
        <v>0</v>
      </c>
      <c r="BG14">
        <f ca="1" xml:space="preserve"> IF( AND( OFFSET($A$1, 14 - 1, 57 - 1) = "1", OFFSET($A$1, 14 - 1, 58 - 1) = "1" ), 1, IF( AND( OFFSET($A$1, 14 - 1, 57 - 1) = "1", OFFSET($A$1, 14 - 1, 58 - 1) = "0" ), 2, IF( AND( OFFSET($A$1, 14 - 1, 57 - 1) = "0", OFFSET($A$1, 14 - 1, 58 - 1) = "1" ), 3, 4 ) ) )</f>
        <v>4</v>
      </c>
    </row>
    <row r="15" spans="2:59" x14ac:dyDescent="0.25">
      <c r="C15" s="14" t="s">
        <v>77</v>
      </c>
      <c r="D15" s="15"/>
      <c r="E15" s="15"/>
      <c r="F15" s="16"/>
      <c r="G15" s="20" t="s">
        <v>78</v>
      </c>
      <c r="H15" s="21"/>
      <c r="I15" s="21"/>
      <c r="J15" s="21"/>
      <c r="K15" s="22"/>
      <c r="AY15" s="7">
        <v>0.20524334548751555</v>
      </c>
      <c r="AZ15" s="7" t="str">
        <f>"1"</f>
        <v>1</v>
      </c>
      <c r="BA15" t="str">
        <f ca="1">IF((OFFSET($A$1, 15 - 1, 51 - 1)) &gt;= (OFFSET($A$1, 68 - 1, 7 - 1)), "1","0")</f>
        <v>0</v>
      </c>
      <c r="BB15">
        <f ca="1" xml:space="preserve"> IF( AND( OFFSET($A$1, 15 - 1, 52 - 1) = "1", OFFSET($A$1, 15 - 1, 53 - 1) = "1" ), 1, IF( AND( OFFSET($A$1, 15 - 1, 52 - 1) = "1", OFFSET($A$1, 15 - 1, 53 - 1) = "0" ), 2, IF( AND( OFFSET($A$1, 15 - 1, 52 - 1) = "0", OFFSET($A$1, 15 - 1, 53 - 1) = "1" ), 3, 4 ) ) )</f>
        <v>2</v>
      </c>
      <c r="BD15" s="7">
        <v>0.20524334548751555</v>
      </c>
      <c r="BE15" s="7" t="str">
        <f>"0"</f>
        <v>0</v>
      </c>
      <c r="BF15" t="str">
        <f ca="1">IF((OFFSET($A$1, 15 - 1, 56 - 1)) &gt;= (OFFSET($A$1, 92 - 1, 7 - 1)), "1","0")</f>
        <v>0</v>
      </c>
      <c r="BG15">
        <f ca="1" xml:space="preserve"> IF( AND( OFFSET($A$1, 15 - 1, 57 - 1) = "1", OFFSET($A$1, 15 - 1, 58 - 1) = "1" ), 1, IF( AND( OFFSET($A$1, 15 - 1, 57 - 1) = "1", OFFSET($A$1, 15 - 1, 58 - 1) = "0" ), 2, IF( AND( OFFSET($A$1, 15 - 1, 57 - 1) = "0", OFFSET($A$1, 15 - 1, 58 - 1) = "1" ), 3, 4 ) ) )</f>
        <v>4</v>
      </c>
    </row>
    <row r="16" spans="2:59" x14ac:dyDescent="0.25">
      <c r="C16" s="14" t="s">
        <v>79</v>
      </c>
      <c r="D16" s="15"/>
      <c r="E16" s="15"/>
      <c r="F16" s="16"/>
      <c r="G16" s="20">
        <v>300</v>
      </c>
      <c r="H16" s="21"/>
      <c r="I16" s="21"/>
      <c r="J16" s="21"/>
      <c r="K16" s="22"/>
      <c r="AY16" s="7">
        <v>0.20524334548751555</v>
      </c>
      <c r="AZ16" s="7" t="str">
        <f>"0"</f>
        <v>0</v>
      </c>
      <c r="BA16" t="str">
        <f ca="1">IF((OFFSET($A$1, 16 - 1, 51 - 1)) &gt;= (OFFSET($A$1, 68 - 1, 7 - 1)), "1","0")</f>
        <v>0</v>
      </c>
      <c r="BB16">
        <f ca="1" xml:space="preserve"> IF( AND( OFFSET($A$1, 16 - 1, 52 - 1) = "1", OFFSET($A$1, 16 - 1, 53 - 1) = "1" ), 1, IF( AND( OFFSET($A$1, 16 - 1, 52 - 1) = "1", OFFSET($A$1, 16 - 1, 53 - 1) = "0" ), 2, IF( AND( OFFSET($A$1, 16 - 1, 52 - 1) = "0", OFFSET($A$1, 16 - 1, 53 - 1) = "1" ), 3, 4 ) ) )</f>
        <v>4</v>
      </c>
      <c r="BD16" s="7">
        <v>0.20524334548751555</v>
      </c>
      <c r="BE16" s="7" t="str">
        <f>"0"</f>
        <v>0</v>
      </c>
      <c r="BF16" t="str">
        <f ca="1">IF((OFFSET($A$1, 16 - 1, 56 - 1)) &gt;= (OFFSET($A$1, 92 - 1, 7 - 1)), "1","0")</f>
        <v>0</v>
      </c>
      <c r="BG16">
        <f ca="1" xml:space="preserve"> IF( AND( OFFSET($A$1, 16 - 1, 57 - 1) = "1", OFFSET($A$1, 16 - 1, 58 - 1) = "1" ), 1, IF( AND( OFFSET($A$1, 16 - 1, 57 - 1) = "1", OFFSET($A$1, 16 - 1, 58 - 1) = "0" ), 2, IF( AND( OFFSET($A$1, 16 - 1, 57 - 1) = "0", OFFSET($A$1, 16 - 1, 58 - 1) = "1" ), 3, 4 ) ) )</f>
        <v>4</v>
      </c>
    </row>
    <row r="17" spans="3:59" x14ac:dyDescent="0.25">
      <c r="C17" s="14" t="s">
        <v>80</v>
      </c>
      <c r="D17" s="15"/>
      <c r="E17" s="15"/>
      <c r="F17" s="16"/>
      <c r="G17" s="20" t="s">
        <v>81</v>
      </c>
      <c r="H17" s="21"/>
      <c r="I17" s="21"/>
      <c r="J17" s="21"/>
      <c r="K17" s="22"/>
      <c r="AY17" s="7">
        <v>0.20524334548751555</v>
      </c>
      <c r="AZ17" s="7" t="str">
        <f>"1"</f>
        <v>1</v>
      </c>
      <c r="BA17" t="str">
        <f ca="1">IF((OFFSET($A$1, 17 - 1, 51 - 1)) &gt;= (OFFSET($A$1, 68 - 1, 7 - 1)), "1","0")</f>
        <v>0</v>
      </c>
      <c r="BB17">
        <f ca="1" xml:space="preserve"> IF( AND( OFFSET($A$1, 17 - 1, 52 - 1) = "1", OFFSET($A$1, 17 - 1, 53 - 1) = "1" ), 1, IF( AND( OFFSET($A$1, 17 - 1, 52 - 1) = "1", OFFSET($A$1, 17 - 1, 53 - 1) = "0" ), 2, IF( AND( OFFSET($A$1, 17 - 1, 52 - 1) = "0", OFFSET($A$1, 17 - 1, 53 - 1) = "1" ), 3, 4 ) ) )</f>
        <v>2</v>
      </c>
      <c r="BD17" s="7">
        <v>0.16903397659089944</v>
      </c>
      <c r="BE17" s="7" t="str">
        <f>"1"</f>
        <v>1</v>
      </c>
      <c r="BF17" t="str">
        <f ca="1">IF((OFFSET($A$1, 17 - 1, 56 - 1)) &gt;= (OFFSET($A$1, 92 - 1, 7 - 1)), "1","0")</f>
        <v>0</v>
      </c>
      <c r="BG17">
        <f ca="1" xml:space="preserve"> IF( AND( OFFSET($A$1, 17 - 1, 57 - 1) = "1", OFFSET($A$1, 17 - 1, 58 - 1) = "1" ), 1, IF( AND( OFFSET($A$1, 17 - 1, 57 - 1) = "1", OFFSET($A$1, 17 - 1, 58 - 1) = "0" ), 2, IF( AND( OFFSET($A$1, 17 - 1, 57 - 1) = "0", OFFSET($A$1, 17 - 1, 58 - 1) = "1" ), 3, 4 ) ) )</f>
        <v>2</v>
      </c>
    </row>
    <row r="18" spans="3:59" x14ac:dyDescent="0.25">
      <c r="C18" s="14" t="s">
        <v>82</v>
      </c>
      <c r="D18" s="15"/>
      <c r="E18" s="15"/>
      <c r="F18" s="16"/>
      <c r="G18" s="20">
        <v>200</v>
      </c>
      <c r="H18" s="21"/>
      <c r="I18" s="21"/>
      <c r="J18" s="21"/>
      <c r="K18" s="22"/>
      <c r="AY18" s="7">
        <v>0.20524334548751555</v>
      </c>
      <c r="AZ18" s="7" t="str">
        <f>"1"</f>
        <v>1</v>
      </c>
      <c r="BA18" t="str">
        <f ca="1">IF((OFFSET($A$1, 18 - 1, 51 - 1)) &gt;= (OFFSET($A$1, 68 - 1, 7 - 1)), "1","0")</f>
        <v>0</v>
      </c>
      <c r="BB18">
        <f ca="1" xml:space="preserve"> IF( AND( OFFSET($A$1, 18 - 1, 52 - 1) = "1", OFFSET($A$1, 18 - 1, 53 - 1) = "1" ), 1, IF( AND( OFFSET($A$1, 18 - 1, 52 - 1) = "1", OFFSET($A$1, 18 - 1, 53 - 1) = "0" ), 2, IF( AND( OFFSET($A$1, 18 - 1, 52 - 1) = "0", OFFSET($A$1, 18 - 1, 53 - 1) = "1" ), 3, 4 ) ) )</f>
        <v>2</v>
      </c>
      <c r="BD18" s="7">
        <v>0.20524334548751555</v>
      </c>
      <c r="BE18" s="7" t="str">
        <f>"0"</f>
        <v>0</v>
      </c>
      <c r="BF18" t="str">
        <f ca="1">IF((OFFSET($A$1, 18 - 1, 56 - 1)) &gt;= (OFFSET($A$1, 92 - 1, 7 - 1)), "1","0")</f>
        <v>0</v>
      </c>
      <c r="BG18">
        <f ca="1" xml:space="preserve"> IF( AND( OFFSET($A$1, 18 - 1, 57 - 1) = "1", OFFSET($A$1, 18 - 1, 58 - 1) = "1" ), 1, IF( AND( OFFSET($A$1, 18 - 1, 57 - 1) = "1", OFFSET($A$1, 18 - 1, 58 - 1) = "0" ), 2, IF( AND( OFFSET($A$1, 18 - 1, 57 - 1) = "0", OFFSET($A$1, 18 - 1, 58 - 1) = "1" ), 3, 4 ) ) )</f>
        <v>4</v>
      </c>
    </row>
    <row r="19" spans="3:59" x14ac:dyDescent="0.25">
      <c r="AY19" s="7">
        <v>0.16903397659089944</v>
      </c>
      <c r="AZ19" s="7" t="str">
        <f>"0"</f>
        <v>0</v>
      </c>
      <c r="BA19" t="str">
        <f ca="1">IF((OFFSET($A$1, 19 - 1, 51 - 1)) &gt;= (OFFSET($A$1, 68 - 1, 7 - 1)), "1","0")</f>
        <v>0</v>
      </c>
      <c r="BB19">
        <f ca="1" xml:space="preserve"> IF( AND( OFFSET($A$1, 19 - 1, 52 - 1) = "1", OFFSET($A$1, 19 - 1, 53 - 1) = "1" ), 1, IF( AND( OFFSET($A$1, 19 - 1, 52 - 1) = "1", OFFSET($A$1, 19 - 1, 53 - 1) = "0" ), 2, IF( AND( OFFSET($A$1, 19 - 1, 52 - 1) = "0", OFFSET($A$1, 19 - 1, 53 - 1) = "1" ), 3, 4 ) ) )</f>
        <v>4</v>
      </c>
      <c r="BD19" s="7">
        <v>0.16903397659089944</v>
      </c>
      <c r="BE19" s="7" t="str">
        <f>"1"</f>
        <v>1</v>
      </c>
      <c r="BF19" t="str">
        <f ca="1">IF((OFFSET($A$1, 19 - 1, 56 - 1)) &gt;= (OFFSET($A$1, 92 - 1, 7 - 1)), "1","0")</f>
        <v>0</v>
      </c>
      <c r="BG19">
        <f ca="1" xml:space="preserve"> IF( AND( OFFSET($A$1, 19 - 1, 57 - 1) = "1", OFFSET($A$1, 19 - 1, 58 - 1) = "1" ), 1, IF( AND( OFFSET($A$1, 19 - 1, 57 - 1) = "1", OFFSET($A$1, 19 - 1, 58 - 1) = "0" ), 2, IF( AND( OFFSET($A$1, 19 - 1, 57 - 1) = "0", OFFSET($A$1, 19 - 1, 58 - 1) = "1" ), 3, 4 ) ) )</f>
        <v>2</v>
      </c>
    </row>
    <row r="20" spans="3:59" x14ac:dyDescent="0.25">
      <c r="C20" s="11" t="s">
        <v>83</v>
      </c>
      <c r="D20" s="12"/>
      <c r="E20" s="13"/>
      <c r="AY20" s="7">
        <v>0.20524334548751555</v>
      </c>
      <c r="AZ20" s="7" t="str">
        <f>"0"</f>
        <v>0</v>
      </c>
      <c r="BA20" t="str">
        <f ca="1">IF((OFFSET($A$1, 20 - 1, 51 - 1)) &gt;= (OFFSET($A$1, 68 - 1, 7 - 1)), "1","0")</f>
        <v>0</v>
      </c>
      <c r="BB20">
        <f ca="1" xml:space="preserve"> IF( AND( OFFSET($A$1, 20 - 1, 52 - 1) = "1", OFFSET($A$1, 20 - 1, 53 - 1) = "1" ), 1, IF( AND( OFFSET($A$1, 20 - 1, 52 - 1) = "1", OFFSET($A$1, 20 - 1, 53 - 1) = "0" ), 2, IF( AND( OFFSET($A$1, 20 - 1, 52 - 1) = "0", OFFSET($A$1, 20 - 1, 53 - 1) = "1" ), 3, 4 ) ) )</f>
        <v>4</v>
      </c>
      <c r="BD20" s="7">
        <v>0.20524334548751555</v>
      </c>
      <c r="BE20" s="7" t="str">
        <f>"0"</f>
        <v>0</v>
      </c>
      <c r="BF20" t="str">
        <f ca="1">IF((OFFSET($A$1, 20 - 1, 56 - 1)) &gt;= (OFFSET($A$1, 92 - 1, 7 - 1)), "1","0")</f>
        <v>0</v>
      </c>
      <c r="BG20">
        <f ca="1" xml:space="preserve"> IF( AND( OFFSET($A$1, 20 - 1, 57 - 1) = "1", OFFSET($A$1, 20 - 1, 58 - 1) = "1" ), 1, IF( AND( OFFSET($A$1, 20 - 1, 57 - 1) = "1", OFFSET($A$1, 20 - 1, 58 - 1) = "0" ), 2, IF( AND( OFFSET($A$1, 20 - 1, 57 - 1) = "0", OFFSET($A$1, 20 - 1, 58 - 1) = "1" ), 3, 4 ) ) )</f>
        <v>4</v>
      </c>
    </row>
    <row r="21" spans="3:59" x14ac:dyDescent="0.25">
      <c r="C21" s="14" t="s">
        <v>84</v>
      </c>
      <c r="D21" s="16"/>
      <c r="E21" s="8">
        <v>1</v>
      </c>
      <c r="AY21" s="7">
        <v>0.20524334548751555</v>
      </c>
      <c r="AZ21" s="7" t="str">
        <f>"0"</f>
        <v>0</v>
      </c>
      <c r="BA21" t="str">
        <f ca="1">IF((OFFSET($A$1, 21 - 1, 51 - 1)) &gt;= (OFFSET($A$1, 68 - 1, 7 - 1)), "1","0")</f>
        <v>0</v>
      </c>
      <c r="BB21">
        <f ca="1" xml:space="preserve"> IF( AND( OFFSET($A$1, 21 - 1, 52 - 1) = "1", OFFSET($A$1, 21 - 1, 53 - 1) = "1" ), 1, IF( AND( OFFSET($A$1, 21 - 1, 52 - 1) = "1", OFFSET($A$1, 21 - 1, 53 - 1) = "0" ), 2, IF( AND( OFFSET($A$1, 21 - 1, 52 - 1) = "0", OFFSET($A$1, 21 - 1, 53 - 1) = "1" ), 3, 4 ) ) )</f>
        <v>4</v>
      </c>
      <c r="BD21" s="7">
        <v>0.20524334548751555</v>
      </c>
      <c r="BE21" s="7" t="str">
        <f>"1"</f>
        <v>1</v>
      </c>
      <c r="BF21" t="str">
        <f ca="1">IF((OFFSET($A$1, 21 - 1, 56 - 1)) &gt;= (OFFSET($A$1, 92 - 1, 7 - 1)), "1","0")</f>
        <v>0</v>
      </c>
      <c r="BG21">
        <f ca="1" xml:space="preserve"> IF( AND( OFFSET($A$1, 21 - 1, 57 - 1) = "1", OFFSET($A$1, 21 - 1, 58 - 1) = "1" ), 1, IF( AND( OFFSET($A$1, 21 - 1, 57 - 1) = "1", OFFSET($A$1, 21 - 1, 58 - 1) = "0" ), 2, IF( AND( OFFSET($A$1, 21 - 1, 57 - 1) = "0", OFFSET($A$1, 21 - 1, 58 - 1) = "1" ), 3, 4 ) ) )</f>
        <v>2</v>
      </c>
    </row>
    <row r="22" spans="3:59" x14ac:dyDescent="0.25">
      <c r="C22" s="14" t="s">
        <v>85</v>
      </c>
      <c r="D22" s="16"/>
      <c r="E22" s="7" t="s">
        <v>2</v>
      </c>
      <c r="AY22" s="7">
        <v>0.20524334548751555</v>
      </c>
      <c r="AZ22" s="7" t="str">
        <f>"1"</f>
        <v>1</v>
      </c>
      <c r="BA22" t="str">
        <f ca="1">IF((OFFSET($A$1, 22 - 1, 51 - 1)) &gt;= (OFFSET($A$1, 68 - 1, 7 - 1)), "1","0")</f>
        <v>0</v>
      </c>
      <c r="BB22">
        <f ca="1" xml:space="preserve"> IF( AND( OFFSET($A$1, 22 - 1, 52 - 1) = "1", OFFSET($A$1, 22 - 1, 53 - 1) = "1" ), 1, IF( AND( OFFSET($A$1, 22 - 1, 52 - 1) = "1", OFFSET($A$1, 22 - 1, 53 - 1) = "0" ), 2, IF( AND( OFFSET($A$1, 22 - 1, 52 - 1) = "0", OFFSET($A$1, 22 - 1, 53 - 1) = "1" ), 3, 4 ) ) )</f>
        <v>2</v>
      </c>
      <c r="BD22" s="7">
        <v>0.20524334548751555</v>
      </c>
      <c r="BE22" s="7" t="str">
        <f>"0"</f>
        <v>0</v>
      </c>
      <c r="BF22" t="str">
        <f ca="1">IF((OFFSET($A$1, 22 - 1, 56 - 1)) &gt;= (OFFSET($A$1, 92 - 1, 7 - 1)), "1","0")</f>
        <v>0</v>
      </c>
      <c r="BG22">
        <f ca="1" xml:space="preserve"> IF( AND( OFFSET($A$1, 22 - 1, 57 - 1) = "1", OFFSET($A$1, 22 - 1, 58 - 1) = "1" ), 1, IF( AND( OFFSET($A$1, 22 - 1, 57 - 1) = "1", OFFSET($A$1, 22 - 1, 58 - 1) = "0" ), 2, IF( AND( OFFSET($A$1, 22 - 1, 57 - 1) = "0", OFFSET($A$1, 22 - 1, 58 - 1) = "1" ), 3, 4 ) ) )</f>
        <v>4</v>
      </c>
    </row>
    <row r="23" spans="3:59" x14ac:dyDescent="0.25">
      <c r="C23" s="14" t="s">
        <v>86</v>
      </c>
      <c r="D23" s="16"/>
      <c r="E23" s="7" t="s">
        <v>3</v>
      </c>
      <c r="AY23" s="7">
        <v>0.20524334548751555</v>
      </c>
      <c r="AZ23" s="7" t="str">
        <f>"1"</f>
        <v>1</v>
      </c>
      <c r="BA23" t="str">
        <f ca="1">IF((OFFSET($A$1, 23 - 1, 51 - 1)) &gt;= (OFFSET($A$1, 68 - 1, 7 - 1)), "1","0")</f>
        <v>0</v>
      </c>
      <c r="BB23">
        <f ca="1" xml:space="preserve"> IF( AND( OFFSET($A$1, 23 - 1, 52 - 1) = "1", OFFSET($A$1, 23 - 1, 53 - 1) = "1" ), 1, IF( AND( OFFSET($A$1, 23 - 1, 52 - 1) = "1", OFFSET($A$1, 23 - 1, 53 - 1) = "0" ), 2, IF( AND( OFFSET($A$1, 23 - 1, 52 - 1) = "0", OFFSET($A$1, 23 - 1, 53 - 1) = "1" ), 3, 4 ) ) )</f>
        <v>2</v>
      </c>
      <c r="BD23" s="7">
        <v>0.20524334548751555</v>
      </c>
      <c r="BE23" s="7" t="str">
        <f>"0"</f>
        <v>0</v>
      </c>
      <c r="BF23" t="str">
        <f ca="1">IF((OFFSET($A$1, 23 - 1, 56 - 1)) &gt;= (OFFSET($A$1, 92 - 1, 7 - 1)), "1","0")</f>
        <v>0</v>
      </c>
      <c r="BG23">
        <f ca="1" xml:space="preserve"> IF( AND( OFFSET($A$1, 23 - 1, 57 - 1) = "1", OFFSET($A$1, 23 - 1, 58 - 1) = "1" ), 1, IF( AND( OFFSET($A$1, 23 - 1, 57 - 1) = "1", OFFSET($A$1, 23 - 1, 58 - 1) = "0" ), 2, IF( AND( OFFSET($A$1, 23 - 1, 57 - 1) = "0", OFFSET($A$1, 23 - 1, 58 - 1) = "1" ), 3, 4 ) ) )</f>
        <v>4</v>
      </c>
    </row>
    <row r="24" spans="3:59" x14ac:dyDescent="0.25">
      <c r="AY24" s="7">
        <v>0.20524334548751555</v>
      </c>
      <c r="AZ24" s="7" t="str">
        <f>"0"</f>
        <v>0</v>
      </c>
      <c r="BA24" t="str">
        <f ca="1">IF((OFFSET($A$1, 24 - 1, 51 - 1)) &gt;= (OFFSET($A$1, 68 - 1, 7 - 1)), "1","0")</f>
        <v>0</v>
      </c>
      <c r="BB24">
        <f ca="1" xml:space="preserve"> IF( AND( OFFSET($A$1, 24 - 1, 52 - 1) = "1", OFFSET($A$1, 24 - 1, 53 - 1) = "1" ), 1, IF( AND( OFFSET($A$1, 24 - 1, 52 - 1) = "1", OFFSET($A$1, 24 - 1, 53 - 1) = "0" ), 2, IF( AND( OFFSET($A$1, 24 - 1, 52 - 1) = "0", OFFSET($A$1, 24 - 1, 53 - 1) = "1" ), 3, 4 ) ) )</f>
        <v>4</v>
      </c>
      <c r="BD24" s="7">
        <v>0.20524334548751555</v>
      </c>
      <c r="BE24" s="7" t="str">
        <f>"0"</f>
        <v>0</v>
      </c>
      <c r="BF24" t="str">
        <f ca="1">IF((OFFSET($A$1, 24 - 1, 56 - 1)) &gt;= (OFFSET($A$1, 92 - 1, 7 - 1)), "1","0")</f>
        <v>0</v>
      </c>
      <c r="BG24">
        <f ca="1" xml:space="preserve"> IF( AND( OFFSET($A$1, 24 - 1, 57 - 1) = "1", OFFSET($A$1, 24 - 1, 58 - 1) = "1" ), 1, IF( AND( OFFSET($A$1, 24 - 1, 57 - 1) = "1", OFFSET($A$1, 24 - 1, 58 - 1) = "0" ), 2, IF( AND( OFFSET($A$1, 24 - 1, 57 - 1) = "0", OFFSET($A$1, 24 - 1, 58 - 1) = "1" ), 3, 4 ) ) )</f>
        <v>4</v>
      </c>
    </row>
    <row r="25" spans="3:59" x14ac:dyDescent="0.25">
      <c r="C25" s="11" t="s">
        <v>87</v>
      </c>
      <c r="D25" s="12"/>
      <c r="E25" s="12"/>
      <c r="F25" s="12"/>
      <c r="G25" s="12"/>
      <c r="H25" s="12"/>
      <c r="I25" s="12"/>
      <c r="J25" s="13"/>
      <c r="AY25" s="7">
        <v>0.16903397659089944</v>
      </c>
      <c r="AZ25" s="7" t="str">
        <f>"0"</f>
        <v>0</v>
      </c>
      <c r="BA25" t="str">
        <f ca="1">IF((OFFSET($A$1, 25 - 1, 51 - 1)) &gt;= (OFFSET($A$1, 68 - 1, 7 - 1)), "1","0")</f>
        <v>0</v>
      </c>
      <c r="BB25">
        <f ca="1" xml:space="preserve"> IF( AND( OFFSET($A$1, 25 - 1, 52 - 1) = "1", OFFSET($A$1, 25 - 1, 53 - 1) = "1" ), 1, IF( AND( OFFSET($A$1, 25 - 1, 52 - 1) = "1", OFFSET($A$1, 25 - 1, 53 - 1) = "0" ), 2, IF( AND( OFFSET($A$1, 25 - 1, 52 - 1) = "0", OFFSET($A$1, 25 - 1, 53 - 1) = "1" ), 3, 4 ) ) )</f>
        <v>4</v>
      </c>
      <c r="BD25" s="7">
        <v>0.20524334548751555</v>
      </c>
      <c r="BE25" s="7" t="str">
        <f>"1"</f>
        <v>1</v>
      </c>
      <c r="BF25" t="str">
        <f ca="1">IF((OFFSET($A$1, 25 - 1, 56 - 1)) &gt;= (OFFSET($A$1, 92 - 1, 7 - 1)), "1","0")</f>
        <v>0</v>
      </c>
      <c r="BG25">
        <f ca="1" xml:space="preserve"> IF( AND( OFFSET($A$1, 25 - 1, 57 - 1) = "1", OFFSET($A$1, 25 - 1, 58 - 1) = "1" ), 1, IF( AND( OFFSET($A$1, 25 - 1, 57 - 1) = "1", OFFSET($A$1, 25 - 1, 58 - 1) = "0" ), 2, IF( AND( OFFSET($A$1, 25 - 1, 57 - 1) = "0", OFFSET($A$1, 25 - 1, 58 - 1) = "1" ), 3, 4 ) ) )</f>
        <v>2</v>
      </c>
    </row>
    <row r="26" spans="3:59" x14ac:dyDescent="0.25">
      <c r="C26" s="14" t="s">
        <v>88</v>
      </c>
      <c r="D26" s="15"/>
      <c r="E26" s="15"/>
      <c r="F26" s="16"/>
      <c r="G26" s="20" t="s">
        <v>89</v>
      </c>
      <c r="H26" s="21"/>
      <c r="I26" s="21"/>
      <c r="J26" s="22"/>
      <c r="AY26" s="7">
        <v>0.20524334548751555</v>
      </c>
      <c r="AZ26" s="7" t="str">
        <f>"0"</f>
        <v>0</v>
      </c>
      <c r="BA26" t="str">
        <f ca="1">IF((OFFSET($A$1, 26 - 1, 51 - 1)) &gt;= (OFFSET($A$1, 68 - 1, 7 - 1)), "1","0")</f>
        <v>0</v>
      </c>
      <c r="BB26">
        <f ca="1" xml:space="preserve"> IF( AND( OFFSET($A$1, 26 - 1, 52 - 1) = "1", OFFSET($A$1, 26 - 1, 53 - 1) = "1" ), 1, IF( AND( OFFSET($A$1, 26 - 1, 52 - 1) = "1", OFFSET($A$1, 26 - 1, 53 - 1) = "0" ), 2, IF( AND( OFFSET($A$1, 26 - 1, 52 - 1) = "0", OFFSET($A$1, 26 - 1, 53 - 1) = "1" ), 3, 4 ) ) )</f>
        <v>4</v>
      </c>
      <c r="BD26" s="7">
        <v>0.16903397659089944</v>
      </c>
      <c r="BE26" s="7" t="str">
        <f>"0"</f>
        <v>0</v>
      </c>
      <c r="BF26" t="str">
        <f ca="1">IF((OFFSET($A$1, 26 - 1, 56 - 1)) &gt;= (OFFSET($A$1, 92 - 1, 7 - 1)), "1","0")</f>
        <v>0</v>
      </c>
      <c r="BG26">
        <f ca="1" xml:space="preserve"> IF( AND( OFFSET($A$1, 26 - 1, 57 - 1) = "1", OFFSET($A$1, 26 - 1, 58 - 1) = "1" ), 1, IF( AND( OFFSET($A$1, 26 - 1, 57 - 1) = "1", OFFSET($A$1, 26 - 1, 58 - 1) = "0" ), 2, IF( AND( OFFSET($A$1, 26 - 1, 57 - 1) = "0", OFFSET($A$1, 26 - 1, 58 - 1) = "1" ), 3, 4 ) ) )</f>
        <v>4</v>
      </c>
    </row>
    <row r="27" spans="3:59" x14ac:dyDescent="0.25">
      <c r="C27" s="14" t="s">
        <v>90</v>
      </c>
      <c r="D27" s="15"/>
      <c r="E27" s="15"/>
      <c r="F27" s="16"/>
      <c r="G27" s="20">
        <v>95</v>
      </c>
      <c r="H27" s="21"/>
      <c r="I27" s="21"/>
      <c r="J27" s="22"/>
      <c r="AY27" s="7">
        <v>0.20524334548751555</v>
      </c>
      <c r="AZ27" s="7" t="str">
        <f>"0"</f>
        <v>0</v>
      </c>
      <c r="BA27" t="str">
        <f ca="1">IF((OFFSET($A$1, 27 - 1, 51 - 1)) &gt;= (OFFSET($A$1, 68 - 1, 7 - 1)), "1","0")</f>
        <v>0</v>
      </c>
      <c r="BB27">
        <f ca="1" xml:space="preserve"> IF( AND( OFFSET($A$1, 27 - 1, 52 - 1) = "1", OFFSET($A$1, 27 - 1, 53 - 1) = "1" ), 1, IF( AND( OFFSET($A$1, 27 - 1, 52 - 1) = "1", OFFSET($A$1, 27 - 1, 53 - 1) = "0" ), 2, IF( AND( OFFSET($A$1, 27 - 1, 52 - 1) = "0", OFFSET($A$1, 27 - 1, 53 - 1) = "1" ), 3, 4 ) ) )</f>
        <v>4</v>
      </c>
      <c r="BD27" s="7">
        <v>0.16903397659089944</v>
      </c>
      <c r="BE27" s="7" t="str">
        <f>"0"</f>
        <v>0</v>
      </c>
      <c r="BF27" t="str">
        <f ca="1">IF((OFFSET($A$1, 27 - 1, 56 - 1)) &gt;= (OFFSET($A$1, 92 - 1, 7 - 1)), "1","0")</f>
        <v>0</v>
      </c>
      <c r="BG27">
        <f ca="1" xml:space="preserve"> IF( AND( OFFSET($A$1, 27 - 1, 57 - 1) = "1", OFFSET($A$1, 27 - 1, 58 - 1) = "1" ), 1, IF( AND( OFFSET($A$1, 27 - 1, 57 - 1) = "1", OFFSET($A$1, 27 - 1, 58 - 1) = "0" ), 2, IF( AND( OFFSET($A$1, 27 - 1, 57 - 1) = "0", OFFSET($A$1, 27 - 1, 58 - 1) = "1" ), 3, 4 ) ) )</f>
        <v>4</v>
      </c>
    </row>
    <row r="28" spans="3:59" x14ac:dyDescent="0.25">
      <c r="C28" s="14" t="s">
        <v>91</v>
      </c>
      <c r="D28" s="15"/>
      <c r="E28" s="15"/>
      <c r="F28" s="16"/>
      <c r="G28" s="20">
        <v>50</v>
      </c>
      <c r="H28" s="21"/>
      <c r="I28" s="21"/>
      <c r="J28" s="22"/>
      <c r="AY28" s="7">
        <v>0.20524334548751555</v>
      </c>
      <c r="AZ28" s="7" t="str">
        <f>"0"</f>
        <v>0</v>
      </c>
      <c r="BA28" t="str">
        <f ca="1">IF((OFFSET($A$1, 28 - 1, 51 - 1)) &gt;= (OFFSET($A$1, 68 - 1, 7 - 1)), "1","0")</f>
        <v>0</v>
      </c>
      <c r="BB28">
        <f ca="1" xml:space="preserve"> IF( AND( OFFSET($A$1, 28 - 1, 52 - 1) = "1", OFFSET($A$1, 28 - 1, 53 - 1) = "1" ), 1, IF( AND( OFFSET($A$1, 28 - 1, 52 - 1) = "1", OFFSET($A$1, 28 - 1, 53 - 1) = "0" ), 2, IF( AND( OFFSET($A$1, 28 - 1, 52 - 1) = "0", OFFSET($A$1, 28 - 1, 53 - 1) = "1" ), 3, 4 ) ) )</f>
        <v>4</v>
      </c>
      <c r="BD28" s="7">
        <v>0.20524334548751555</v>
      </c>
      <c r="BE28" s="7" t="str">
        <f>"0"</f>
        <v>0</v>
      </c>
      <c r="BF28" t="str">
        <f ca="1">IF((OFFSET($A$1, 28 - 1, 56 - 1)) &gt;= (OFFSET($A$1, 92 - 1, 7 - 1)), "1","0")</f>
        <v>0</v>
      </c>
      <c r="BG28">
        <f ca="1" xml:space="preserve"> IF( AND( OFFSET($A$1, 28 - 1, 57 - 1) = "1", OFFSET($A$1, 28 - 1, 58 - 1) = "1" ), 1, IF( AND( OFFSET($A$1, 28 - 1, 57 - 1) = "1", OFFSET($A$1, 28 - 1, 58 - 1) = "0" ), 2, IF( AND( OFFSET($A$1, 28 - 1, 57 - 1) = "0", OFFSET($A$1, 28 - 1, 58 - 1) = "1" ), 3, 4 ) ) )</f>
        <v>4</v>
      </c>
    </row>
    <row r="29" spans="3:59" x14ac:dyDescent="0.25">
      <c r="C29" s="14" t="s">
        <v>92</v>
      </c>
      <c r="D29" s="15"/>
      <c r="E29" s="15"/>
      <c r="F29" s="16"/>
      <c r="G29" s="20" t="s">
        <v>89</v>
      </c>
      <c r="H29" s="21"/>
      <c r="I29" s="21"/>
      <c r="J29" s="22"/>
      <c r="AY29" s="7">
        <v>0.20524334548751555</v>
      </c>
      <c r="AZ29" s="7" t="str">
        <f>"0"</f>
        <v>0</v>
      </c>
      <c r="BA29" t="str">
        <f ca="1">IF((OFFSET($A$1, 29 - 1, 51 - 1)) &gt;= (OFFSET($A$1, 68 - 1, 7 - 1)), "1","0")</f>
        <v>0</v>
      </c>
      <c r="BB29">
        <f ca="1" xml:space="preserve"> IF( AND( OFFSET($A$1, 29 - 1, 52 - 1) = "1", OFFSET($A$1, 29 - 1, 53 - 1) = "1" ), 1, IF( AND( OFFSET($A$1, 29 - 1, 52 - 1) = "1", OFFSET($A$1, 29 - 1, 53 - 1) = "0" ), 2, IF( AND( OFFSET($A$1, 29 - 1, 52 - 1) = "0", OFFSET($A$1, 29 - 1, 53 - 1) = "1" ), 3, 4 ) ) )</f>
        <v>4</v>
      </c>
      <c r="BD29" s="7">
        <v>0.20524334548751555</v>
      </c>
      <c r="BE29" s="7" t="str">
        <f>"0"</f>
        <v>0</v>
      </c>
      <c r="BF29" t="str">
        <f ca="1">IF((OFFSET($A$1, 29 - 1, 56 - 1)) &gt;= (OFFSET($A$1, 92 - 1, 7 - 1)), "1","0")</f>
        <v>0</v>
      </c>
      <c r="BG29">
        <f ca="1" xml:space="preserve"> IF( AND( OFFSET($A$1, 29 - 1, 57 - 1) = "1", OFFSET($A$1, 29 - 1, 58 - 1) = "1" ), 1, IF( AND( OFFSET($A$1, 29 - 1, 57 - 1) = "1", OFFSET($A$1, 29 - 1, 58 - 1) = "0" ), 2, IF( AND( OFFSET($A$1, 29 - 1, 57 - 1) = "0", OFFSET($A$1, 29 - 1, 58 - 1) = "1" ), 3, 4 ) ) )</f>
        <v>4</v>
      </c>
    </row>
    <row r="30" spans="3:59" x14ac:dyDescent="0.25">
      <c r="C30" s="14" t="s">
        <v>98</v>
      </c>
      <c r="D30" s="15"/>
      <c r="E30" s="15"/>
      <c r="F30" s="16"/>
      <c r="G30" s="20" t="s">
        <v>89</v>
      </c>
      <c r="H30" s="21"/>
      <c r="I30" s="21"/>
      <c r="J30" s="22"/>
      <c r="AY30" s="7">
        <v>0.16903397659089944</v>
      </c>
      <c r="AZ30" s="7" t="str">
        <f>"0"</f>
        <v>0</v>
      </c>
      <c r="BA30" t="str">
        <f ca="1">IF((OFFSET($A$1, 30 - 1, 51 - 1)) &gt;= (OFFSET($A$1, 68 - 1, 7 - 1)), "1","0")</f>
        <v>0</v>
      </c>
      <c r="BB30">
        <f ca="1" xml:space="preserve"> IF( AND( OFFSET($A$1, 30 - 1, 52 - 1) = "1", OFFSET($A$1, 30 - 1, 53 - 1) = "1" ), 1, IF( AND( OFFSET($A$1, 30 - 1, 52 - 1) = "1", OFFSET($A$1, 30 - 1, 53 - 1) = "0" ), 2, IF( AND( OFFSET($A$1, 30 - 1, 52 - 1) = "0", OFFSET($A$1, 30 - 1, 53 - 1) = "1" ), 3, 4 ) ) )</f>
        <v>4</v>
      </c>
      <c r="BD30" s="7">
        <v>0.16903397659089944</v>
      </c>
      <c r="BE30" s="7" t="str">
        <f>"0"</f>
        <v>0</v>
      </c>
      <c r="BF30" t="str">
        <f ca="1">IF((OFFSET($A$1, 30 - 1, 56 - 1)) &gt;= (OFFSET($A$1, 92 - 1, 7 - 1)), "1","0")</f>
        <v>0</v>
      </c>
      <c r="BG30">
        <f ca="1" xml:space="preserve"> IF( AND( OFFSET($A$1, 30 - 1, 57 - 1) = "1", OFFSET($A$1, 30 - 1, 58 - 1) = "1" ), 1, IF( AND( OFFSET($A$1, 30 - 1, 57 - 1) = "1", OFFSET($A$1, 30 - 1, 58 - 1) = "0" ), 2, IF( AND( OFFSET($A$1, 30 - 1, 57 - 1) = "0", OFFSET($A$1, 30 - 1, 58 - 1) = "1" ), 3, 4 ) ) )</f>
        <v>4</v>
      </c>
    </row>
    <row r="31" spans="3:59" x14ac:dyDescent="0.25">
      <c r="C31" s="14" t="s">
        <v>99</v>
      </c>
      <c r="D31" s="15"/>
      <c r="E31" s="15"/>
      <c r="F31" s="16"/>
      <c r="G31" s="20" t="s">
        <v>89</v>
      </c>
      <c r="H31" s="21"/>
      <c r="I31" s="21"/>
      <c r="J31" s="22"/>
      <c r="AY31" s="7">
        <v>0.16903397659089944</v>
      </c>
      <c r="AZ31" s="7" t="str">
        <f>"0"</f>
        <v>0</v>
      </c>
      <c r="BA31" t="str">
        <f ca="1">IF((OFFSET($A$1, 31 - 1, 51 - 1)) &gt;= (OFFSET($A$1, 68 - 1, 7 - 1)), "1","0")</f>
        <v>0</v>
      </c>
      <c r="BB31">
        <f ca="1" xml:space="preserve"> IF( AND( OFFSET($A$1, 31 - 1, 52 - 1) = "1", OFFSET($A$1, 31 - 1, 53 - 1) = "1" ), 1, IF( AND( OFFSET($A$1, 31 - 1, 52 - 1) = "1", OFFSET($A$1, 31 - 1, 53 - 1) = "0" ), 2, IF( AND( OFFSET($A$1, 31 - 1, 52 - 1) = "0", OFFSET($A$1, 31 - 1, 53 - 1) = "1" ), 3, 4 ) ) )</f>
        <v>4</v>
      </c>
      <c r="BD31" s="7">
        <v>0.20524334548751555</v>
      </c>
      <c r="BE31" s="7" t="str">
        <f>"0"</f>
        <v>0</v>
      </c>
      <c r="BF31" t="str">
        <f ca="1">IF((OFFSET($A$1, 31 - 1, 56 - 1)) &gt;= (OFFSET($A$1, 92 - 1, 7 - 1)), "1","0")</f>
        <v>0</v>
      </c>
      <c r="BG31">
        <f ca="1" xml:space="preserve"> IF( AND( OFFSET($A$1, 31 - 1, 57 - 1) = "1", OFFSET($A$1, 31 - 1, 58 - 1) = "1" ), 1, IF( AND( OFFSET($A$1, 31 - 1, 57 - 1) = "1", OFFSET($A$1, 31 - 1, 58 - 1) = "0" ), 2, IF( AND( OFFSET($A$1, 31 - 1, 57 - 1) = "0", OFFSET($A$1, 31 - 1, 58 - 1) = "1" ), 3, 4 ) ) )</f>
        <v>4</v>
      </c>
    </row>
    <row r="32" spans="3:59" x14ac:dyDescent="0.25">
      <c r="AY32" s="7">
        <v>0.20524334548751555</v>
      </c>
      <c r="AZ32" s="7" t="str">
        <f>"0"</f>
        <v>0</v>
      </c>
      <c r="BA32" t="str">
        <f ca="1">IF((OFFSET($A$1, 32 - 1, 51 - 1)) &gt;= (OFFSET($A$1, 68 - 1, 7 - 1)), "1","0")</f>
        <v>0</v>
      </c>
      <c r="BB32">
        <f ca="1" xml:space="preserve"> IF( AND( OFFSET($A$1, 32 - 1, 52 - 1) = "1", OFFSET($A$1, 32 - 1, 53 - 1) = "1" ), 1, IF( AND( OFFSET($A$1, 32 - 1, 52 - 1) = "1", OFFSET($A$1, 32 - 1, 53 - 1) = "0" ), 2, IF( AND( OFFSET($A$1, 32 - 1, 52 - 1) = "0", OFFSET($A$1, 32 - 1, 53 - 1) = "1" ), 3, 4 ) ) )</f>
        <v>4</v>
      </c>
      <c r="BD32" s="7">
        <v>0.20524334548751555</v>
      </c>
      <c r="BE32" s="7" t="str">
        <f>"0"</f>
        <v>0</v>
      </c>
      <c r="BF32" t="str">
        <f ca="1">IF((OFFSET($A$1, 32 - 1, 56 - 1)) &gt;= (OFFSET($A$1, 92 - 1, 7 - 1)), "1","0")</f>
        <v>0</v>
      </c>
      <c r="BG32">
        <f ca="1" xml:space="preserve"> IF( AND( OFFSET($A$1, 32 - 1, 57 - 1) = "1", OFFSET($A$1, 32 - 1, 58 - 1) = "1" ), 1, IF( AND( OFFSET($A$1, 32 - 1, 57 - 1) = "1", OFFSET($A$1, 32 - 1, 58 - 1) = "0" ), 2, IF( AND( OFFSET($A$1, 32 - 1, 57 - 1) = "0", OFFSET($A$1, 32 - 1, 58 - 1) = "1" ), 3, 4 ) ) )</f>
        <v>4</v>
      </c>
    </row>
    <row r="33" spans="2:59" x14ac:dyDescent="0.25">
      <c r="C33" s="11" t="s">
        <v>100</v>
      </c>
      <c r="D33" s="12"/>
      <c r="E33" s="12"/>
      <c r="F33" s="12"/>
      <c r="G33" s="13"/>
      <c r="AY33" s="7">
        <v>0.20524334548751555</v>
      </c>
      <c r="AZ33" s="7" t="str">
        <f>"0"</f>
        <v>0</v>
      </c>
      <c r="BA33" t="str">
        <f ca="1">IF((OFFSET($A$1, 33 - 1, 51 - 1)) &gt;= (OFFSET($A$1, 68 - 1, 7 - 1)), "1","0")</f>
        <v>0</v>
      </c>
      <c r="BB33">
        <f ca="1" xml:space="preserve"> IF( AND( OFFSET($A$1, 33 - 1, 52 - 1) = "1", OFFSET($A$1, 33 - 1, 53 - 1) = "1" ), 1, IF( AND( OFFSET($A$1, 33 - 1, 52 - 1) = "1", OFFSET($A$1, 33 - 1, 53 - 1) = "0" ), 2, IF( AND( OFFSET($A$1, 33 - 1, 52 - 1) = "0", OFFSET($A$1, 33 - 1, 53 - 1) = "1" ), 3, 4 ) ) )</f>
        <v>4</v>
      </c>
      <c r="BD33" s="7">
        <v>0.20524334548751555</v>
      </c>
      <c r="BE33" s="7" t="str">
        <f>"0"</f>
        <v>0</v>
      </c>
      <c r="BF33" t="str">
        <f ca="1">IF((OFFSET($A$1, 33 - 1, 56 - 1)) &gt;= (OFFSET($A$1, 92 - 1, 7 - 1)), "1","0")</f>
        <v>0</v>
      </c>
      <c r="BG33">
        <f ca="1" xml:space="preserve"> IF( AND( OFFSET($A$1, 33 - 1, 57 - 1) = "1", OFFSET($A$1, 33 - 1, 58 - 1) = "1" ), 1, IF( AND( OFFSET($A$1, 33 - 1, 57 - 1) = "1", OFFSET($A$1, 33 - 1, 58 - 1) = "0" ), 2, IF( AND( OFFSET($A$1, 33 - 1, 57 - 1) = "0", OFFSET($A$1, 33 - 1, 58 - 1) = "1" ), 3, 4 ) ) )</f>
        <v>4</v>
      </c>
    </row>
    <row r="34" spans="2:59" x14ac:dyDescent="0.25">
      <c r="C34" s="17" t="s">
        <v>101</v>
      </c>
      <c r="D34" s="18"/>
      <c r="E34" s="18"/>
      <c r="F34" s="18"/>
      <c r="G34" s="19"/>
      <c r="AY34" s="7">
        <v>0.20524334548751555</v>
      </c>
      <c r="AZ34" s="7" t="str">
        <f>"1"</f>
        <v>1</v>
      </c>
      <c r="BA34" t="str">
        <f ca="1">IF((OFFSET($A$1, 34 - 1, 51 - 1)) &gt;= (OFFSET($A$1, 68 - 1, 7 - 1)), "1","0")</f>
        <v>0</v>
      </c>
      <c r="BB34">
        <f ca="1" xml:space="preserve"> IF( AND( OFFSET($A$1, 34 - 1, 52 - 1) = "1", OFFSET($A$1, 34 - 1, 53 - 1) = "1" ), 1, IF( AND( OFFSET($A$1, 34 - 1, 52 - 1) = "1", OFFSET($A$1, 34 - 1, 53 - 1) = "0" ), 2, IF( AND( OFFSET($A$1, 34 - 1, 52 - 1) = "0", OFFSET($A$1, 34 - 1, 53 - 1) = "1" ), 3, 4 ) ) )</f>
        <v>2</v>
      </c>
      <c r="BD34" s="7">
        <v>0.20524334548751555</v>
      </c>
      <c r="BE34" s="7" t="str">
        <f>"1"</f>
        <v>1</v>
      </c>
      <c r="BF34" t="str">
        <f ca="1">IF((OFFSET($A$1, 34 - 1, 56 - 1)) &gt;= (OFFSET($A$1, 92 - 1, 7 - 1)), "1","0")</f>
        <v>0</v>
      </c>
      <c r="BG34">
        <f ca="1" xml:space="preserve"> IF( AND( OFFSET($A$1, 34 - 1, 57 - 1) = "1", OFFSET($A$1, 34 - 1, 58 - 1) = "1" ), 1, IF( AND( OFFSET($A$1, 34 - 1, 57 - 1) = "1", OFFSET($A$1, 34 - 1, 58 - 1) = "0" ), 2, IF( AND( OFFSET($A$1, 34 - 1, 57 - 1) = "0", OFFSET($A$1, 34 - 1, 58 - 1) = "1" ), 3, 4 ) ) )</f>
        <v>2</v>
      </c>
    </row>
    <row r="35" spans="2:59" x14ac:dyDescent="0.25">
      <c r="C35" s="17" t="s">
        <v>102</v>
      </c>
      <c r="D35" s="18"/>
      <c r="E35" s="18"/>
      <c r="F35" s="18"/>
      <c r="G35" s="19"/>
      <c r="AY35" s="7">
        <v>0.20524334548751555</v>
      </c>
      <c r="AZ35" s="7" t="str">
        <f>"0"</f>
        <v>0</v>
      </c>
      <c r="BA35" t="str">
        <f ca="1">IF((OFFSET($A$1, 35 - 1, 51 - 1)) &gt;= (OFFSET($A$1, 68 - 1, 7 - 1)), "1","0")</f>
        <v>0</v>
      </c>
      <c r="BB35">
        <f ca="1" xml:space="preserve"> IF( AND( OFFSET($A$1, 35 - 1, 52 - 1) = "1", OFFSET($A$1, 35 - 1, 53 - 1) = "1" ), 1, IF( AND( OFFSET($A$1, 35 - 1, 52 - 1) = "1", OFFSET($A$1, 35 - 1, 53 - 1) = "0" ), 2, IF( AND( OFFSET($A$1, 35 - 1, 52 - 1) = "0", OFFSET($A$1, 35 - 1, 53 - 1) = "1" ), 3, 4 ) ) )</f>
        <v>4</v>
      </c>
      <c r="BD35" s="7">
        <v>0.20524334548751555</v>
      </c>
      <c r="BE35" s="7" t="str">
        <f>"0"</f>
        <v>0</v>
      </c>
      <c r="BF35" t="str">
        <f ca="1">IF((OFFSET($A$1, 35 - 1, 56 - 1)) &gt;= (OFFSET($A$1, 92 - 1, 7 - 1)), "1","0")</f>
        <v>0</v>
      </c>
      <c r="BG35">
        <f ca="1" xml:space="preserve"> IF( AND( OFFSET($A$1, 35 - 1, 57 - 1) = "1", OFFSET($A$1, 35 - 1, 58 - 1) = "1" ), 1, IF( AND( OFFSET($A$1, 35 - 1, 57 - 1) = "1", OFFSET($A$1, 35 - 1, 58 - 1) = "0" ), 2, IF( AND( OFFSET($A$1, 35 - 1, 57 - 1) = "0", OFFSET($A$1, 35 - 1, 58 - 1) = "1" ), 3, 4 ) ) )</f>
        <v>4</v>
      </c>
    </row>
    <row r="36" spans="2:59" x14ac:dyDescent="0.25">
      <c r="C36" s="17" t="s">
        <v>103</v>
      </c>
      <c r="D36" s="18"/>
      <c r="E36" s="18"/>
      <c r="F36" s="18"/>
      <c r="G36" s="19"/>
      <c r="AY36" s="7">
        <v>0.16903397659089944</v>
      </c>
      <c r="AZ36" s="7" t="str">
        <f>"0"</f>
        <v>0</v>
      </c>
      <c r="BA36" t="str">
        <f ca="1">IF((OFFSET($A$1, 36 - 1, 51 - 1)) &gt;= (OFFSET($A$1, 68 - 1, 7 - 1)), "1","0")</f>
        <v>0</v>
      </c>
      <c r="BB36">
        <f ca="1" xml:space="preserve"> IF( AND( OFFSET($A$1, 36 - 1, 52 - 1) = "1", OFFSET($A$1, 36 - 1, 53 - 1) = "1" ), 1, IF( AND( OFFSET($A$1, 36 - 1, 52 - 1) = "1", OFFSET($A$1, 36 - 1, 53 - 1) = "0" ), 2, IF( AND( OFFSET($A$1, 36 - 1, 52 - 1) = "0", OFFSET($A$1, 36 - 1, 53 - 1) = "1" ), 3, 4 ) ) )</f>
        <v>4</v>
      </c>
      <c r="BD36" s="7">
        <v>0.20524334548751555</v>
      </c>
      <c r="BE36" s="7" t="str">
        <f>"0"</f>
        <v>0</v>
      </c>
      <c r="BF36" t="str">
        <f ca="1">IF((OFFSET($A$1, 36 - 1, 56 - 1)) &gt;= (OFFSET($A$1, 92 - 1, 7 - 1)), "1","0")</f>
        <v>0</v>
      </c>
      <c r="BG36">
        <f ca="1" xml:space="preserve"> IF( AND( OFFSET($A$1, 36 - 1, 57 - 1) = "1", OFFSET($A$1, 36 - 1, 58 - 1) = "1" ), 1, IF( AND( OFFSET($A$1, 36 - 1, 57 - 1) = "1", OFFSET($A$1, 36 - 1, 58 - 1) = "0" ), 2, IF( AND( OFFSET($A$1, 36 - 1, 57 - 1) = "0", OFFSET($A$1, 36 - 1, 58 - 1) = "1" ), 3, 4 ) ) )</f>
        <v>4</v>
      </c>
    </row>
    <row r="37" spans="2:59" x14ac:dyDescent="0.25">
      <c r="C37" s="17" t="s">
        <v>104</v>
      </c>
      <c r="D37" s="18"/>
      <c r="E37" s="18"/>
      <c r="F37" s="18"/>
      <c r="G37" s="19"/>
      <c r="AY37" s="7">
        <v>0.20524334548751555</v>
      </c>
      <c r="AZ37" s="7" t="str">
        <f>"1"</f>
        <v>1</v>
      </c>
      <c r="BA37" t="str">
        <f ca="1">IF((OFFSET($A$1, 37 - 1, 51 - 1)) &gt;= (OFFSET($A$1, 68 - 1, 7 - 1)), "1","0")</f>
        <v>0</v>
      </c>
      <c r="BB37">
        <f ca="1" xml:space="preserve"> IF( AND( OFFSET($A$1, 37 - 1, 52 - 1) = "1", OFFSET($A$1, 37 - 1, 53 - 1) = "1" ), 1, IF( AND( OFFSET($A$1, 37 - 1, 52 - 1) = "1", OFFSET($A$1, 37 - 1, 53 - 1) = "0" ), 2, IF( AND( OFFSET($A$1, 37 - 1, 52 - 1) = "0", OFFSET($A$1, 37 - 1, 53 - 1) = "1" ), 3, 4 ) ) )</f>
        <v>2</v>
      </c>
      <c r="BD37" s="7">
        <v>0.20524334548751555</v>
      </c>
      <c r="BE37" s="7" t="str">
        <f>"0"</f>
        <v>0</v>
      </c>
      <c r="BF37" t="str">
        <f ca="1">IF((OFFSET($A$1, 37 - 1, 56 - 1)) &gt;= (OFFSET($A$1, 92 - 1, 7 - 1)), "1","0")</f>
        <v>0</v>
      </c>
      <c r="BG37">
        <f ca="1" xml:space="preserve"> IF( AND( OFFSET($A$1, 37 - 1, 57 - 1) = "1", OFFSET($A$1, 37 - 1, 58 - 1) = "1" ), 1, IF( AND( OFFSET($A$1, 37 - 1, 57 - 1) = "1", OFFSET($A$1, 37 - 1, 58 - 1) = "0" ), 2, IF( AND( OFFSET($A$1, 37 - 1, 57 - 1) = "0", OFFSET($A$1, 37 - 1, 58 - 1) = "1" ), 3, 4 ) ) )</f>
        <v>4</v>
      </c>
    </row>
    <row r="38" spans="2:59" x14ac:dyDescent="0.25">
      <c r="AY38" s="7">
        <v>0.16903397659089944</v>
      </c>
      <c r="AZ38" s="7" t="str">
        <f>"0"</f>
        <v>0</v>
      </c>
      <c r="BA38" t="str">
        <f ca="1">IF((OFFSET($A$1, 38 - 1, 51 - 1)) &gt;= (OFFSET($A$1, 68 - 1, 7 - 1)), "1","0")</f>
        <v>0</v>
      </c>
      <c r="BB38">
        <f ca="1" xml:space="preserve"> IF( AND( OFFSET($A$1, 38 - 1, 52 - 1) = "1", OFFSET($A$1, 38 - 1, 53 - 1) = "1" ), 1, IF( AND( OFFSET($A$1, 38 - 1, 52 - 1) = "1", OFFSET($A$1, 38 - 1, 53 - 1) = "0" ), 2, IF( AND( OFFSET($A$1, 38 - 1, 52 - 1) = "0", OFFSET($A$1, 38 - 1, 53 - 1) = "1" ), 3, 4 ) ) )</f>
        <v>4</v>
      </c>
      <c r="BD38" s="7">
        <v>0.20524334548751555</v>
      </c>
      <c r="BE38" s="7" t="str">
        <f>"1"</f>
        <v>1</v>
      </c>
      <c r="BF38" t="str">
        <f ca="1">IF((OFFSET($A$1, 38 - 1, 56 - 1)) &gt;= (OFFSET($A$1, 92 - 1, 7 - 1)), "1","0")</f>
        <v>0</v>
      </c>
      <c r="BG38">
        <f ca="1" xml:space="preserve"> IF( AND( OFFSET($A$1, 38 - 1, 57 - 1) = "1", OFFSET($A$1, 38 - 1, 58 - 1) = "1" ), 1, IF( AND( OFFSET($A$1, 38 - 1, 57 - 1) = "1", OFFSET($A$1, 38 - 1, 58 - 1) = "0" ), 2, IF( AND( OFFSET($A$1, 38 - 1, 57 - 1) = "0", OFFSET($A$1, 38 - 1, 58 - 1) = "1" ), 3, 4 ) ) )</f>
        <v>2</v>
      </c>
    </row>
    <row r="39" spans="2:59" x14ac:dyDescent="0.25">
      <c r="AY39" s="7">
        <v>0.20524334548751555</v>
      </c>
      <c r="AZ39" s="7" t="str">
        <f>"1"</f>
        <v>1</v>
      </c>
      <c r="BA39" t="str">
        <f ca="1">IF((OFFSET($A$1, 39 - 1, 51 - 1)) &gt;= (OFFSET($A$1, 68 - 1, 7 - 1)), "1","0")</f>
        <v>0</v>
      </c>
      <c r="BB39">
        <f ca="1" xml:space="preserve"> IF( AND( OFFSET($A$1, 39 - 1, 52 - 1) = "1", OFFSET($A$1, 39 - 1, 53 - 1) = "1" ), 1, IF( AND( OFFSET($A$1, 39 - 1, 52 - 1) = "1", OFFSET($A$1, 39 - 1, 53 - 1) = "0" ), 2, IF( AND( OFFSET($A$1, 39 - 1, 52 - 1) = "0", OFFSET($A$1, 39 - 1, 53 - 1) = "1" ), 3, 4 ) ) )</f>
        <v>2</v>
      </c>
      <c r="BD39" s="7">
        <v>0.20524334548751555</v>
      </c>
      <c r="BE39" s="7" t="str">
        <f>"0"</f>
        <v>0</v>
      </c>
      <c r="BF39" t="str">
        <f ca="1">IF((OFFSET($A$1, 39 - 1, 56 - 1)) &gt;= (OFFSET($A$1, 92 - 1, 7 - 1)), "1","0")</f>
        <v>0</v>
      </c>
      <c r="BG39">
        <f ca="1" xml:space="preserve"> IF( AND( OFFSET($A$1, 39 - 1, 57 - 1) = "1", OFFSET($A$1, 39 - 1, 58 - 1) = "1" ), 1, IF( AND( OFFSET($A$1, 39 - 1, 57 - 1) = "1", OFFSET($A$1, 39 - 1, 58 - 1) = "0" ), 2, IF( AND( OFFSET($A$1, 39 - 1, 57 - 1) = "0", OFFSET($A$1, 39 - 1, 58 - 1) = "1" ), 3, 4 ) ) )</f>
        <v>4</v>
      </c>
    </row>
    <row r="40" spans="2:59" ht="18.75" x14ac:dyDescent="0.3">
      <c r="B40" s="26" t="s">
        <v>105</v>
      </c>
      <c r="AY40" s="7">
        <v>0.20524334548751555</v>
      </c>
      <c r="AZ40" s="7" t="str">
        <f>"0"</f>
        <v>0</v>
      </c>
      <c r="BA40" t="str">
        <f ca="1">IF((OFFSET($A$1, 40 - 1, 51 - 1)) &gt;= (OFFSET($A$1, 68 - 1, 7 - 1)), "1","0")</f>
        <v>0</v>
      </c>
      <c r="BB40">
        <f ca="1" xml:space="preserve"> IF( AND( OFFSET($A$1, 40 - 1, 52 - 1) = "1", OFFSET($A$1, 40 - 1, 53 - 1) = "1" ), 1, IF( AND( OFFSET($A$1, 40 - 1, 52 - 1) = "1", OFFSET($A$1, 40 - 1, 53 - 1) = "0" ), 2, IF( AND( OFFSET($A$1, 40 - 1, 52 - 1) = "0", OFFSET($A$1, 40 - 1, 53 - 1) = "1" ), 3, 4 ) ) )</f>
        <v>4</v>
      </c>
      <c r="BD40" s="7">
        <v>0.20524334548751555</v>
      </c>
      <c r="BE40" s="7" t="str">
        <f>"0"</f>
        <v>0</v>
      </c>
      <c r="BF40" t="str">
        <f ca="1">IF((OFFSET($A$1, 40 - 1, 56 - 1)) &gt;= (OFFSET($A$1, 92 - 1, 7 - 1)), "1","0")</f>
        <v>0</v>
      </c>
      <c r="BG40">
        <f ca="1" xml:space="preserve"> IF( AND( OFFSET($A$1, 40 - 1, 57 - 1) = "1", OFFSET($A$1, 40 - 1, 58 - 1) = "1" ), 1, IF( AND( OFFSET($A$1, 40 - 1, 57 - 1) = "1", OFFSET($A$1, 40 - 1, 58 - 1) = "0" ), 2, IF( AND( OFFSET($A$1, 40 - 1, 57 - 1) = "0", OFFSET($A$1, 40 - 1, 58 - 1) = "1" ), 3, 4 ) ) )</f>
        <v>4</v>
      </c>
    </row>
    <row r="41" spans="2:59" x14ac:dyDescent="0.25">
      <c r="AY41" s="7">
        <v>0.20524334548751555</v>
      </c>
      <c r="AZ41" s="7" t="str">
        <f>"1"</f>
        <v>1</v>
      </c>
      <c r="BA41" t="str">
        <f ca="1">IF((OFFSET($A$1, 41 - 1, 51 - 1)) &gt;= (OFFSET($A$1, 68 - 1, 7 - 1)), "1","0")</f>
        <v>0</v>
      </c>
      <c r="BB41">
        <f ca="1" xml:space="preserve"> IF( AND( OFFSET($A$1, 41 - 1, 52 - 1) = "1", OFFSET($A$1, 41 - 1, 53 - 1) = "1" ), 1, IF( AND( OFFSET($A$1, 41 - 1, 52 - 1) = "1", OFFSET($A$1, 41 - 1, 53 - 1) = "0" ), 2, IF( AND( OFFSET($A$1, 41 - 1, 52 - 1) = "0", OFFSET($A$1, 41 - 1, 53 - 1) = "1" ), 3, 4 ) ) )</f>
        <v>2</v>
      </c>
      <c r="BD41" s="7">
        <v>0.20524334548751555</v>
      </c>
      <c r="BE41" s="7" t="str">
        <f>"1"</f>
        <v>1</v>
      </c>
      <c r="BF41" t="str">
        <f ca="1">IF((OFFSET($A$1, 41 - 1, 56 - 1)) &gt;= (OFFSET($A$1, 92 - 1, 7 - 1)), "1","0")</f>
        <v>0</v>
      </c>
      <c r="BG41">
        <f ca="1" xml:space="preserve"> IF( AND( OFFSET($A$1, 41 - 1, 57 - 1) = "1", OFFSET($A$1, 41 - 1, 58 - 1) = "1" ), 1, IF( AND( OFFSET($A$1, 41 - 1, 57 - 1) = "1", OFFSET($A$1, 41 - 1, 58 - 1) = "0" ), 2, IF( AND( OFFSET($A$1, 41 - 1, 57 - 1) = "0", OFFSET($A$1, 41 - 1, 58 - 1) = "1" ), 3, 4 ) ) )</f>
        <v>2</v>
      </c>
    </row>
    <row r="42" spans="2:59" x14ac:dyDescent="0.25">
      <c r="C42" s="17" t="s">
        <v>106</v>
      </c>
      <c r="D42" s="18"/>
      <c r="E42" s="18"/>
      <c r="F42" s="18"/>
      <c r="G42" s="19"/>
      <c r="AY42" s="7">
        <v>0.20524334548751555</v>
      </c>
      <c r="AZ42" s="7" t="str">
        <f>"1"</f>
        <v>1</v>
      </c>
      <c r="BA42" t="str">
        <f ca="1">IF((OFFSET($A$1, 42 - 1, 51 - 1)) &gt;= (OFFSET($A$1, 68 - 1, 7 - 1)), "1","0")</f>
        <v>0</v>
      </c>
      <c r="BB42">
        <f ca="1" xml:space="preserve"> IF( AND( OFFSET($A$1, 42 - 1, 52 - 1) = "1", OFFSET($A$1, 42 - 1, 53 - 1) = "1" ), 1, IF( AND( OFFSET($A$1, 42 - 1, 52 - 1) = "1", OFFSET($A$1, 42 - 1, 53 - 1) = "0" ), 2, IF( AND( OFFSET($A$1, 42 - 1, 52 - 1) = "0", OFFSET($A$1, 42 - 1, 53 - 1) = "1" ), 3, 4 ) ) )</f>
        <v>2</v>
      </c>
      <c r="BD42" s="7">
        <v>0.20524334548751555</v>
      </c>
      <c r="BE42" s="7" t="str">
        <f>"0"</f>
        <v>0</v>
      </c>
      <c r="BF42" t="str">
        <f ca="1">IF((OFFSET($A$1, 42 - 1, 56 - 1)) &gt;= (OFFSET($A$1, 92 - 1, 7 - 1)), "1","0")</f>
        <v>0</v>
      </c>
      <c r="BG42">
        <f ca="1" xml:space="preserve"> IF( AND( OFFSET($A$1, 42 - 1, 57 - 1) = "1", OFFSET($A$1, 42 - 1, 58 - 1) = "1" ), 1, IF( AND( OFFSET($A$1, 42 - 1, 57 - 1) = "1", OFFSET($A$1, 42 - 1, 58 - 1) = "0" ), 2, IF( AND( OFFSET($A$1, 42 - 1, 57 - 1) = "0", OFFSET($A$1, 42 - 1, 58 - 1) = "1" ), 3, 4 ) ) )</f>
        <v>4</v>
      </c>
    </row>
    <row r="43" spans="2:59" x14ac:dyDescent="0.25">
      <c r="AY43" s="7">
        <v>0.20524334548751555</v>
      </c>
      <c r="AZ43" s="7" t="str">
        <f>"1"</f>
        <v>1</v>
      </c>
      <c r="BA43" t="str">
        <f ca="1">IF((OFFSET($A$1, 43 - 1, 51 - 1)) &gt;= (OFFSET($A$1, 68 - 1, 7 - 1)), "1","0")</f>
        <v>0</v>
      </c>
      <c r="BB43">
        <f ca="1" xml:space="preserve"> IF( AND( OFFSET($A$1, 43 - 1, 52 - 1) = "1", OFFSET($A$1, 43 - 1, 53 - 1) = "1" ), 1, IF( AND( OFFSET($A$1, 43 - 1, 52 - 1) = "1", OFFSET($A$1, 43 - 1, 53 - 1) = "0" ), 2, IF( AND( OFFSET($A$1, 43 - 1, 52 - 1) = "0", OFFSET($A$1, 43 - 1, 53 - 1) = "1" ), 3, 4 ) ) )</f>
        <v>2</v>
      </c>
      <c r="BD43" s="7">
        <v>0.20524334548751555</v>
      </c>
      <c r="BE43" s="7" t="str">
        <f>"0"</f>
        <v>0</v>
      </c>
      <c r="BF43" t="str">
        <f ca="1">IF((OFFSET($A$1, 43 - 1, 56 - 1)) &gt;= (OFFSET($A$1, 92 - 1, 7 - 1)), "1","0")</f>
        <v>0</v>
      </c>
      <c r="BG43">
        <f ca="1" xml:space="preserve"> IF( AND( OFFSET($A$1, 43 - 1, 57 - 1) = "1", OFFSET($A$1, 43 - 1, 58 - 1) = "1" ), 1, IF( AND( OFFSET($A$1, 43 - 1, 57 - 1) = "1", OFFSET($A$1, 43 - 1, 58 - 1) = "0" ), 2, IF( AND( OFFSET($A$1, 43 - 1, 57 - 1) = "0", OFFSET($A$1, 43 - 1, 58 - 1) = "1" ), 3, 4 ) ) )</f>
        <v>4</v>
      </c>
    </row>
    <row r="44" spans="2:59" x14ac:dyDescent="0.25">
      <c r="C44" s="10" t="s">
        <v>107</v>
      </c>
      <c r="D44" s="10" t="s">
        <v>108</v>
      </c>
      <c r="AY44" s="7">
        <v>0.16903397659089944</v>
      </c>
      <c r="AZ44" s="7" t="str">
        <f>"0"</f>
        <v>0</v>
      </c>
      <c r="BA44" t="str">
        <f ca="1">IF((OFFSET($A$1, 44 - 1, 51 - 1)) &gt;= (OFFSET($A$1, 68 - 1, 7 - 1)), "1","0")</f>
        <v>0</v>
      </c>
      <c r="BB44">
        <f ca="1" xml:space="preserve"> IF( AND( OFFSET($A$1, 44 - 1, 52 - 1) = "1", OFFSET($A$1, 44 - 1, 53 - 1) = "1" ), 1, IF( AND( OFFSET($A$1, 44 - 1, 52 - 1) = "1", OFFSET($A$1, 44 - 1, 53 - 1) = "0" ), 2, IF( AND( OFFSET($A$1, 44 - 1, 52 - 1) = "0", OFFSET($A$1, 44 - 1, 53 - 1) = "1" ), 3, 4 ) ) )</f>
        <v>4</v>
      </c>
      <c r="BD44" s="7">
        <v>0.20524334548751555</v>
      </c>
      <c r="BE44" s="7" t="str">
        <f>"0"</f>
        <v>0</v>
      </c>
      <c r="BF44" t="str">
        <f ca="1">IF((OFFSET($A$1, 44 - 1, 56 - 1)) &gt;= (OFFSET($A$1, 92 - 1, 7 - 1)), "1","0")</f>
        <v>0</v>
      </c>
      <c r="BG44">
        <f ca="1" xml:space="preserve"> IF( AND( OFFSET($A$1, 44 - 1, 57 - 1) = "1", OFFSET($A$1, 44 - 1, 58 - 1) = "1" ), 1, IF( AND( OFFSET($A$1, 44 - 1, 57 - 1) = "1", OFFSET($A$1, 44 - 1, 58 - 1) = "0" ), 2, IF( AND( OFFSET($A$1, 44 - 1, 57 - 1) = "0", OFFSET($A$1, 44 - 1, 58 - 1) = "1" ), 3, 4 ) ) )</f>
        <v>4</v>
      </c>
    </row>
    <row r="45" spans="2:59" x14ac:dyDescent="0.25">
      <c r="C45" s="9">
        <v>0</v>
      </c>
      <c r="D45" s="7">
        <v>0.80333333333333334</v>
      </c>
      <c r="AY45" s="7">
        <v>0.20524334548751555</v>
      </c>
      <c r="AZ45" s="7" t="str">
        <f>"1"</f>
        <v>1</v>
      </c>
      <c r="BA45" t="str">
        <f ca="1">IF((OFFSET($A$1, 45 - 1, 51 - 1)) &gt;= (OFFSET($A$1, 68 - 1, 7 - 1)), "1","0")</f>
        <v>0</v>
      </c>
      <c r="BB45">
        <f ca="1" xml:space="preserve"> IF( AND( OFFSET($A$1, 45 - 1, 52 - 1) = "1", OFFSET($A$1, 45 - 1, 53 - 1) = "1" ), 1, IF( AND( OFFSET($A$1, 45 - 1, 52 - 1) = "1", OFFSET($A$1, 45 - 1, 53 - 1) = "0" ), 2, IF( AND( OFFSET($A$1, 45 - 1, 52 - 1) = "0", OFFSET($A$1, 45 - 1, 53 - 1) = "1" ), 3, 4 ) ) )</f>
        <v>2</v>
      </c>
      <c r="BD45" s="7">
        <v>0.20524334548751555</v>
      </c>
      <c r="BE45" s="7" t="str">
        <f>"1"</f>
        <v>1</v>
      </c>
      <c r="BF45" t="str">
        <f ca="1">IF((OFFSET($A$1, 45 - 1, 56 - 1)) &gt;= (OFFSET($A$1, 92 - 1, 7 - 1)), "1","0")</f>
        <v>0</v>
      </c>
      <c r="BG45">
        <f ca="1" xml:space="preserve"> IF( AND( OFFSET($A$1, 45 - 1, 57 - 1) = "1", OFFSET($A$1, 45 - 1, 58 - 1) = "1" ), 1, IF( AND( OFFSET($A$1, 45 - 1, 57 - 1) = "1", OFFSET($A$1, 45 - 1, 58 - 1) = "0" ), 2, IF( AND( OFFSET($A$1, 45 - 1, 57 - 1) = "0", OFFSET($A$1, 45 - 1, 58 - 1) = "1" ), 3, 4 ) ) )</f>
        <v>2</v>
      </c>
    </row>
    <row r="46" spans="2:59" x14ac:dyDescent="0.25">
      <c r="C46" s="9">
        <v>1</v>
      </c>
      <c r="D46" s="7">
        <v>0.19666666666666668</v>
      </c>
      <c r="AY46" s="7">
        <v>0.20524334548751555</v>
      </c>
      <c r="AZ46" s="7" t="str">
        <f>"0"</f>
        <v>0</v>
      </c>
      <c r="BA46" t="str">
        <f ca="1">IF((OFFSET($A$1, 46 - 1, 51 - 1)) &gt;= (OFFSET($A$1, 68 - 1, 7 - 1)), "1","0")</f>
        <v>0</v>
      </c>
      <c r="BB46">
        <f ca="1" xml:space="preserve"> IF( AND( OFFSET($A$1, 46 - 1, 52 - 1) = "1", OFFSET($A$1, 46 - 1, 53 - 1) = "1" ), 1, IF( AND( OFFSET($A$1, 46 - 1, 52 - 1) = "1", OFFSET($A$1, 46 - 1, 53 - 1) = "0" ), 2, IF( AND( OFFSET($A$1, 46 - 1, 52 - 1) = "0", OFFSET($A$1, 46 - 1, 53 - 1) = "1" ), 3, 4 ) ) )</f>
        <v>4</v>
      </c>
      <c r="BD46" s="7">
        <v>0.16903397659089944</v>
      </c>
      <c r="BE46" s="7" t="str">
        <f>"0"</f>
        <v>0</v>
      </c>
      <c r="BF46" t="str">
        <f ca="1">IF((OFFSET($A$1, 46 - 1, 56 - 1)) &gt;= (OFFSET($A$1, 92 - 1, 7 - 1)), "1","0")</f>
        <v>0</v>
      </c>
      <c r="BG46">
        <f ca="1" xml:space="preserve"> IF( AND( OFFSET($A$1, 46 - 1, 57 - 1) = "1", OFFSET($A$1, 46 - 1, 58 - 1) = "1" ), 1, IF( AND( OFFSET($A$1, 46 - 1, 57 - 1) = "1", OFFSET($A$1, 46 - 1, 58 - 1) = "0" ), 2, IF( AND( OFFSET($A$1, 46 - 1, 57 - 1) = "0", OFFSET($A$1, 46 - 1, 58 - 1) = "1" ), 3, 4 ) ) )</f>
        <v>4</v>
      </c>
    </row>
    <row r="47" spans="2:59" x14ac:dyDescent="0.25">
      <c r="AY47" s="7">
        <v>0.16903397659089944</v>
      </c>
      <c r="AZ47" s="7" t="str">
        <f>"0"</f>
        <v>0</v>
      </c>
      <c r="BA47" t="str">
        <f ca="1">IF((OFFSET($A$1, 47 - 1, 51 - 1)) &gt;= (OFFSET($A$1, 68 - 1, 7 - 1)), "1","0")</f>
        <v>0</v>
      </c>
      <c r="BB47">
        <f ca="1" xml:space="preserve"> IF( AND( OFFSET($A$1, 47 - 1, 52 - 1) = "1", OFFSET($A$1, 47 - 1, 53 - 1) = "1" ), 1, IF( AND( OFFSET($A$1, 47 - 1, 52 - 1) = "1", OFFSET($A$1, 47 - 1, 53 - 1) = "0" ), 2, IF( AND( OFFSET($A$1, 47 - 1, 52 - 1) = "0", OFFSET($A$1, 47 - 1, 53 - 1) = "1" ), 3, 4 ) ) )</f>
        <v>4</v>
      </c>
      <c r="BD47" s="7">
        <v>0.16903397659089944</v>
      </c>
      <c r="BE47" s="7" t="str">
        <f>"0"</f>
        <v>0</v>
      </c>
      <c r="BF47" t="str">
        <f ca="1">IF((OFFSET($A$1, 47 - 1, 56 - 1)) &gt;= (OFFSET($A$1, 92 - 1, 7 - 1)), "1","0")</f>
        <v>0</v>
      </c>
      <c r="BG47">
        <f ca="1" xml:space="preserve"> IF( AND( OFFSET($A$1, 47 - 1, 57 - 1) = "1", OFFSET($A$1, 47 - 1, 58 - 1) = "1" ), 1, IF( AND( OFFSET($A$1, 47 - 1, 57 - 1) = "1", OFFSET($A$1, 47 - 1, 58 - 1) = "0" ), 2, IF( AND( OFFSET($A$1, 47 - 1, 57 - 1) = "0", OFFSET($A$1, 47 - 1, 58 - 1) = "1" ), 3, 4 ) ) )</f>
        <v>4</v>
      </c>
    </row>
    <row r="48" spans="2:59" x14ac:dyDescent="0.25">
      <c r="AY48" s="7">
        <v>0.20524334548751555</v>
      </c>
      <c r="AZ48" s="7" t="str">
        <f>"0"</f>
        <v>0</v>
      </c>
      <c r="BA48" t="str">
        <f ca="1">IF((OFFSET($A$1, 48 - 1, 51 - 1)) &gt;= (OFFSET($A$1, 68 - 1, 7 - 1)), "1","0")</f>
        <v>0</v>
      </c>
      <c r="BB48">
        <f ca="1" xml:space="preserve"> IF( AND( OFFSET($A$1, 48 - 1, 52 - 1) = "1", OFFSET($A$1, 48 - 1, 53 - 1) = "1" ), 1, IF( AND( OFFSET($A$1, 48 - 1, 52 - 1) = "1", OFFSET($A$1, 48 - 1, 53 - 1) = "0" ), 2, IF( AND( OFFSET($A$1, 48 - 1, 52 - 1) = "0", OFFSET($A$1, 48 - 1, 53 - 1) = "1" ), 3, 4 ) ) )</f>
        <v>4</v>
      </c>
      <c r="BD48" s="7">
        <v>0.20524334548751555</v>
      </c>
      <c r="BE48" s="7" t="str">
        <f>"1"</f>
        <v>1</v>
      </c>
      <c r="BF48" t="str">
        <f ca="1">IF((OFFSET($A$1, 48 - 1, 56 - 1)) &gt;= (OFFSET($A$1, 92 - 1, 7 - 1)), "1","0")</f>
        <v>0</v>
      </c>
      <c r="BG48">
        <f ca="1" xml:space="preserve"> IF( AND( OFFSET($A$1, 48 - 1, 57 - 1) = "1", OFFSET($A$1, 48 - 1, 58 - 1) = "1" ), 1, IF( AND( OFFSET($A$1, 48 - 1, 57 - 1) = "1", OFFSET($A$1, 48 - 1, 58 - 1) = "0" ), 2, IF( AND( OFFSET($A$1, 48 - 1, 57 - 1) = "0", OFFSET($A$1, 48 - 1, 58 - 1) = "1" ), 3, 4 ) ) )</f>
        <v>2</v>
      </c>
    </row>
    <row r="49" spans="2:59" ht="18.75" x14ac:dyDescent="0.3">
      <c r="B49" s="26" t="s">
        <v>109</v>
      </c>
      <c r="AY49" s="7">
        <v>0.20524334548751555</v>
      </c>
      <c r="AZ49" s="7" t="str">
        <f>"1"</f>
        <v>1</v>
      </c>
      <c r="BA49" t="str">
        <f ca="1">IF((OFFSET($A$1, 49 - 1, 51 - 1)) &gt;= (OFFSET($A$1, 68 - 1, 7 - 1)), "1","0")</f>
        <v>0</v>
      </c>
      <c r="BB49">
        <f ca="1" xml:space="preserve"> IF( AND( OFFSET($A$1, 49 - 1, 52 - 1) = "1", OFFSET($A$1, 49 - 1, 53 - 1) = "1" ), 1, IF( AND( OFFSET($A$1, 49 - 1, 52 - 1) = "1", OFFSET($A$1, 49 - 1, 53 - 1) = "0" ), 2, IF( AND( OFFSET($A$1, 49 - 1, 52 - 1) = "0", OFFSET($A$1, 49 - 1, 53 - 1) = "1" ), 3, 4 ) ) )</f>
        <v>2</v>
      </c>
      <c r="BD49" s="7">
        <v>0.20524334548751555</v>
      </c>
      <c r="BE49" s="7" t="str">
        <f>"0"</f>
        <v>0</v>
      </c>
      <c r="BF49" t="str">
        <f ca="1">IF((OFFSET($A$1, 49 - 1, 56 - 1)) &gt;= (OFFSET($A$1, 92 - 1, 7 - 1)), "1","0")</f>
        <v>0</v>
      </c>
      <c r="BG49">
        <f ca="1" xml:space="preserve"> IF( AND( OFFSET($A$1, 49 - 1, 57 - 1) = "1", OFFSET($A$1, 49 - 1, 58 - 1) = "1" ), 1, IF( AND( OFFSET($A$1, 49 - 1, 57 - 1) = "1", OFFSET($A$1, 49 - 1, 58 - 1) = "0" ), 2, IF( AND( OFFSET($A$1, 49 - 1, 57 - 1) = "0", OFFSET($A$1, 49 - 1, 58 - 1) = "1" ), 3, 4 ) ) )</f>
        <v>4</v>
      </c>
    </row>
    <row r="50" spans="2:59" x14ac:dyDescent="0.25">
      <c r="AY50" s="7">
        <v>0.20524334548751555</v>
      </c>
      <c r="AZ50" s="7" t="str">
        <f>"0"</f>
        <v>0</v>
      </c>
      <c r="BA50" t="str">
        <f ca="1">IF((OFFSET($A$1, 50 - 1, 51 - 1)) &gt;= (OFFSET($A$1, 68 - 1, 7 - 1)), "1","0")</f>
        <v>0</v>
      </c>
      <c r="BB50">
        <f ca="1" xml:space="preserve"> IF( AND( OFFSET($A$1, 50 - 1, 52 - 1) = "1", OFFSET($A$1, 50 - 1, 53 - 1) = "1" ), 1, IF( AND( OFFSET($A$1, 50 - 1, 52 - 1) = "1", OFFSET($A$1, 50 - 1, 53 - 1) = "0" ), 2, IF( AND( OFFSET($A$1, 50 - 1, 52 - 1) = "0", OFFSET($A$1, 50 - 1, 53 - 1) = "1" ), 3, 4 ) ) )</f>
        <v>4</v>
      </c>
      <c r="BD50" s="7">
        <v>0.20524334548751555</v>
      </c>
      <c r="BE50" s="7" t="str">
        <f>"1"</f>
        <v>1</v>
      </c>
      <c r="BF50" t="str">
        <f ca="1">IF((OFFSET($A$1, 50 - 1, 56 - 1)) &gt;= (OFFSET($A$1, 92 - 1, 7 - 1)), "1","0")</f>
        <v>0</v>
      </c>
      <c r="BG50">
        <f ca="1" xml:space="preserve"> IF( AND( OFFSET($A$1, 50 - 1, 57 - 1) = "1", OFFSET($A$1, 50 - 1, 58 - 1) = "1" ), 1, IF( AND( OFFSET($A$1, 50 - 1, 57 - 1) = "1", OFFSET($A$1, 50 - 1, 58 - 1) = "0" ), 2, IF( AND( OFFSET($A$1, 50 - 1, 57 - 1) = "0", OFFSET($A$1, 50 - 1, 58 - 1) = "1" ), 3, 4 ) ) )</f>
        <v>2</v>
      </c>
    </row>
    <row r="51" spans="2:59" x14ac:dyDescent="0.25">
      <c r="C51" s="36" t="s">
        <v>110</v>
      </c>
      <c r="D51" s="37"/>
      <c r="E51" s="38"/>
      <c r="F51" s="7">
        <v>1.1537536839377805E-12</v>
      </c>
      <c r="AY51" s="7">
        <v>0.20524334548751555</v>
      </c>
      <c r="AZ51" s="7" t="str">
        <f>"0"</f>
        <v>0</v>
      </c>
      <c r="BA51" t="str">
        <f ca="1">IF((OFFSET($A$1, 51 - 1, 51 - 1)) &gt;= (OFFSET($A$1, 68 - 1, 7 - 1)), "1","0")</f>
        <v>0</v>
      </c>
      <c r="BB51">
        <f ca="1" xml:space="preserve"> IF( AND( OFFSET($A$1, 51 - 1, 52 - 1) = "1", OFFSET($A$1, 51 - 1, 53 - 1) = "1" ), 1, IF( AND( OFFSET($A$1, 51 - 1, 52 - 1) = "1", OFFSET($A$1, 51 - 1, 53 - 1) = "0" ), 2, IF( AND( OFFSET($A$1, 51 - 1, 52 - 1) = "0", OFFSET($A$1, 51 - 1, 53 - 1) = "1" ), 3, 4 ) ) )</f>
        <v>4</v>
      </c>
      <c r="BD51" s="7">
        <v>0.20524334548751555</v>
      </c>
      <c r="BE51" s="7" t="str">
        <f>"0"</f>
        <v>0</v>
      </c>
      <c r="BF51" t="str">
        <f ca="1">IF((OFFSET($A$1, 51 - 1, 56 - 1)) &gt;= (OFFSET($A$1, 92 - 1, 7 - 1)), "1","0")</f>
        <v>0</v>
      </c>
      <c r="BG51">
        <f ca="1" xml:space="preserve"> IF( AND( OFFSET($A$1, 51 - 1, 57 - 1) = "1", OFFSET($A$1, 51 - 1, 58 - 1) = "1" ), 1, IF( AND( OFFSET($A$1, 51 - 1, 57 - 1) = "1", OFFSET($A$1, 51 - 1, 58 - 1) = "0" ), 2, IF( AND( OFFSET($A$1, 51 - 1, 57 - 1) = "0", OFFSET($A$1, 51 - 1, 58 - 1) = "1" ), 3, 4 ) ) )</f>
        <v>4</v>
      </c>
    </row>
    <row r="52" spans="2:59" x14ac:dyDescent="0.25">
      <c r="AY52" s="7">
        <v>0.20524334548751555</v>
      </c>
      <c r="AZ52" s="7" t="str">
        <f>"0"</f>
        <v>0</v>
      </c>
      <c r="BA52" t="str">
        <f ca="1">IF((OFFSET($A$1, 52 - 1, 51 - 1)) &gt;= (OFFSET($A$1, 68 - 1, 7 - 1)), "1","0")</f>
        <v>0</v>
      </c>
      <c r="BB52">
        <f ca="1" xml:space="preserve"> IF( AND( OFFSET($A$1, 52 - 1, 52 - 1) = "1", OFFSET($A$1, 52 - 1, 53 - 1) = "1" ), 1, IF( AND( OFFSET($A$1, 52 - 1, 52 - 1) = "1", OFFSET($A$1, 52 - 1, 53 - 1) = "0" ), 2, IF( AND( OFFSET($A$1, 52 - 1, 52 - 1) = "0", OFFSET($A$1, 52 - 1, 53 - 1) = "1" ), 3, 4 ) ) )</f>
        <v>4</v>
      </c>
      <c r="BD52" s="7">
        <v>0.16903397659089944</v>
      </c>
      <c r="BE52" s="7" t="str">
        <f>"0"</f>
        <v>0</v>
      </c>
      <c r="BF52" t="str">
        <f ca="1">IF((OFFSET($A$1, 52 - 1, 56 - 1)) &gt;= (OFFSET($A$1, 92 - 1, 7 - 1)), "1","0")</f>
        <v>0</v>
      </c>
      <c r="BG52">
        <f ca="1" xml:space="preserve"> IF( AND( OFFSET($A$1, 52 - 1, 57 - 1) = "1", OFFSET($A$1, 52 - 1, 58 - 1) = "1" ), 1, IF( AND( OFFSET($A$1, 52 - 1, 57 - 1) = "1", OFFSET($A$1, 52 - 1, 58 - 1) = "0" ), 2, IF( AND( OFFSET($A$1, 52 - 1, 57 - 1) = "0", OFFSET($A$1, 52 - 1, 58 - 1) = "1" ), 3, 4 ) ) )</f>
        <v>4</v>
      </c>
    </row>
    <row r="53" spans="2:59" x14ac:dyDescent="0.25">
      <c r="C53" s="39" t="s">
        <v>111</v>
      </c>
      <c r="D53" s="40"/>
      <c r="E53" s="39" t="s">
        <v>112</v>
      </c>
      <c r="F53" s="40"/>
      <c r="AY53" s="7">
        <v>0.16903397659089944</v>
      </c>
      <c r="AZ53" s="7" t="str">
        <f>"0"</f>
        <v>0</v>
      </c>
      <c r="BA53" t="str">
        <f ca="1">IF((OFFSET($A$1, 53 - 1, 51 - 1)) &gt;= (OFFSET($A$1, 68 - 1, 7 - 1)), "1","0")</f>
        <v>0</v>
      </c>
      <c r="BB53">
        <f ca="1" xml:space="preserve"> IF( AND( OFFSET($A$1, 53 - 1, 52 - 1) = "1", OFFSET($A$1, 53 - 1, 53 - 1) = "1" ), 1, IF( AND( OFFSET($A$1, 53 - 1, 52 - 1) = "1", OFFSET($A$1, 53 - 1, 53 - 1) = "0" ), 2, IF( AND( OFFSET($A$1, 53 - 1, 52 - 1) = "0", OFFSET($A$1, 53 - 1, 53 - 1) = "1" ), 3, 4 ) ) )</f>
        <v>4</v>
      </c>
      <c r="BD53" s="7">
        <v>0.20524334548751555</v>
      </c>
      <c r="BE53" s="7" t="str">
        <f>"0"</f>
        <v>0</v>
      </c>
      <c r="BF53" t="str">
        <f ca="1">IF((OFFSET($A$1, 53 - 1, 56 - 1)) &gt;= (OFFSET($A$1, 92 - 1, 7 - 1)), "1","0")</f>
        <v>0</v>
      </c>
      <c r="BG53">
        <f ca="1" xml:space="preserve"> IF( AND( OFFSET($A$1, 53 - 1, 57 - 1) = "1", OFFSET($A$1, 53 - 1, 58 - 1) = "1" ), 1, IF( AND( OFFSET($A$1, 53 - 1, 57 - 1) = "1", OFFSET($A$1, 53 - 1, 58 - 1) = "0" ), 2, IF( AND( OFFSET($A$1, 53 - 1, 57 - 1) = "0", OFFSET($A$1, 53 - 1, 58 - 1) = "1" ), 3, 4 ) ) )</f>
        <v>4</v>
      </c>
    </row>
    <row r="54" spans="2:59" x14ac:dyDescent="0.25">
      <c r="C54" s="29" t="s">
        <v>113</v>
      </c>
      <c r="D54" s="29" t="s">
        <v>114</v>
      </c>
      <c r="E54" s="29" t="s">
        <v>113</v>
      </c>
      <c r="F54" s="29" t="s">
        <v>114</v>
      </c>
      <c r="AY54" s="7">
        <v>0.20524334548751555</v>
      </c>
      <c r="AZ54" s="7" t="str">
        <f>"0"</f>
        <v>0</v>
      </c>
      <c r="BA54" t="str">
        <f ca="1">IF((OFFSET($A$1, 54 - 1, 51 - 1)) &gt;= (OFFSET($A$1, 68 - 1, 7 - 1)), "1","0")</f>
        <v>0</v>
      </c>
      <c r="BB54">
        <f ca="1" xml:space="preserve"> IF( AND( OFFSET($A$1, 54 - 1, 52 - 1) = "1", OFFSET($A$1, 54 - 1, 53 - 1) = "1" ), 1, IF( AND( OFFSET($A$1, 54 - 1, 52 - 1) = "1", OFFSET($A$1, 54 - 1, 53 - 1) = "0" ), 2, IF( AND( OFFSET($A$1, 54 - 1, 52 - 1) = "0", OFFSET($A$1, 54 - 1, 53 - 1) = "1" ), 3, 4 ) ) )</f>
        <v>4</v>
      </c>
      <c r="BD54" s="7">
        <v>0.20524334548751555</v>
      </c>
      <c r="BE54" s="7" t="str">
        <f>"0"</f>
        <v>0</v>
      </c>
      <c r="BF54" t="str">
        <f ca="1">IF((OFFSET($A$1, 54 - 1, 56 - 1)) &gt;= (OFFSET($A$1, 92 - 1, 7 - 1)), "1","0")</f>
        <v>0</v>
      </c>
      <c r="BG54">
        <f ca="1" xml:space="preserve"> IF( AND( OFFSET($A$1, 54 - 1, 57 - 1) = "1", OFFSET($A$1, 54 - 1, 58 - 1) = "1" ), 1, IF( AND( OFFSET($A$1, 54 - 1, 57 - 1) = "1", OFFSET($A$1, 54 - 1, 58 - 1) = "0" ), 2, IF( AND( OFFSET($A$1, 54 - 1, 57 - 1) = "0", OFFSET($A$1, 54 - 1, 58 - 1) = "1" ), 3, 4 ) ) )</f>
        <v>4</v>
      </c>
    </row>
    <row r="55" spans="2:59" x14ac:dyDescent="0.25">
      <c r="C55" s="9" t="s">
        <v>115</v>
      </c>
      <c r="D55" s="7">
        <v>17.320508075688775</v>
      </c>
      <c r="AY55" s="7">
        <v>0.20524334548751555</v>
      </c>
      <c r="AZ55" s="7" t="str">
        <f>"0"</f>
        <v>0</v>
      </c>
      <c r="BA55" t="str">
        <f ca="1">IF((OFFSET($A$1, 55 - 1, 51 - 1)) &gt;= (OFFSET($A$1, 68 - 1, 7 - 1)), "1","0")</f>
        <v>0</v>
      </c>
      <c r="BB55">
        <f ca="1" xml:space="preserve"> IF( AND( OFFSET($A$1, 55 - 1, 52 - 1) = "1", OFFSET($A$1, 55 - 1, 53 - 1) = "1" ), 1, IF( AND( OFFSET($A$1, 55 - 1, 52 - 1) = "1", OFFSET($A$1, 55 - 1, 53 - 1) = "0" ), 2, IF( AND( OFFSET($A$1, 55 - 1, 52 - 1) = "0", OFFSET($A$1, 55 - 1, 53 - 1) = "1" ), 3, 4 ) ) )</f>
        <v>4</v>
      </c>
      <c r="BD55" s="7">
        <v>0.20524334548751555</v>
      </c>
      <c r="BE55" s="7" t="str">
        <f>"1"</f>
        <v>1</v>
      </c>
      <c r="BF55" t="str">
        <f ca="1">IF((OFFSET($A$1, 55 - 1, 56 - 1)) &gt;= (OFFSET($A$1, 92 - 1, 7 - 1)), "1","0")</f>
        <v>0</v>
      </c>
      <c r="BG55">
        <f ca="1" xml:space="preserve"> IF( AND( OFFSET($A$1, 55 - 1, 57 - 1) = "1", OFFSET($A$1, 55 - 1, 58 - 1) = "1" ), 1, IF( AND( OFFSET($A$1, 55 - 1, 57 - 1) = "1", OFFSET($A$1, 55 - 1, 58 - 1) = "0" ), 2, IF( AND( OFFSET($A$1, 55 - 1, 57 - 1) = "0", OFFSET($A$1, 55 - 1, 58 - 1) = "1" ), 3, 4 ) ) )</f>
        <v>2</v>
      </c>
    </row>
    <row r="56" spans="2:59" x14ac:dyDescent="0.25">
      <c r="C56" s="9" t="s">
        <v>2</v>
      </c>
      <c r="D56" s="7">
        <v>7.3618385384811802</v>
      </c>
      <c r="AY56" s="7">
        <v>0.20524334548751555</v>
      </c>
      <c r="AZ56" s="7" t="str">
        <f>"0"</f>
        <v>0</v>
      </c>
      <c r="BA56" t="str">
        <f ca="1">IF((OFFSET($A$1, 56 - 1, 51 - 1)) &gt;= (OFFSET($A$1, 68 - 1, 7 - 1)), "1","0")</f>
        <v>0</v>
      </c>
      <c r="BB56">
        <f ca="1" xml:space="preserve"> IF( AND( OFFSET($A$1, 56 - 1, 52 - 1) = "1", OFFSET($A$1, 56 - 1, 53 - 1) = "1" ), 1, IF( AND( OFFSET($A$1, 56 - 1, 52 - 1) = "1", OFFSET($A$1, 56 - 1, 53 - 1) = "0" ), 2, IF( AND( OFFSET($A$1, 56 - 1, 52 - 1) = "0", OFFSET($A$1, 56 - 1, 53 - 1) = "1" ), 3, 4 ) ) )</f>
        <v>4</v>
      </c>
      <c r="BD56" s="7">
        <v>0.16903397659089944</v>
      </c>
      <c r="BE56" s="7" t="str">
        <f>"0"</f>
        <v>0</v>
      </c>
      <c r="BF56" t="str">
        <f ca="1">IF((OFFSET($A$1, 56 - 1, 56 - 1)) &gt;= (OFFSET($A$1, 92 - 1, 7 - 1)), "1","0")</f>
        <v>0</v>
      </c>
      <c r="BG56">
        <f ca="1" xml:space="preserve"> IF( AND( OFFSET($A$1, 56 - 1, 57 - 1) = "1", OFFSET($A$1, 56 - 1, 58 - 1) = "1" ), 1, IF( AND( OFFSET($A$1, 56 - 1, 57 - 1) = "1", OFFSET($A$1, 56 - 1, 58 - 1) = "0" ), 2, IF( AND( OFFSET($A$1, 56 - 1, 57 - 1) = "0", OFFSET($A$1, 56 - 1, 58 - 1) = "1" ), 3, 4 ) ) )</f>
        <v>4</v>
      </c>
    </row>
    <row r="57" spans="2:59" x14ac:dyDescent="0.25">
      <c r="AY57" s="7">
        <v>0.20524334548751555</v>
      </c>
      <c r="AZ57" s="7" t="str">
        <f>"1"</f>
        <v>1</v>
      </c>
      <c r="BA57" t="str">
        <f ca="1">IF((OFFSET($A$1, 57 - 1, 51 - 1)) &gt;= (OFFSET($A$1, 68 - 1, 7 - 1)), "1","0")</f>
        <v>0</v>
      </c>
      <c r="BB57">
        <f ca="1" xml:space="preserve"> IF( AND( OFFSET($A$1, 57 - 1, 52 - 1) = "1", OFFSET($A$1, 57 - 1, 53 - 1) = "1" ), 1, IF( AND( OFFSET($A$1, 57 - 1, 52 - 1) = "1", OFFSET($A$1, 57 - 1, 53 - 1) = "0" ), 2, IF( AND( OFFSET($A$1, 57 - 1, 52 - 1) = "0", OFFSET($A$1, 57 - 1, 53 - 1) = "1" ), 3, 4 ) ) )</f>
        <v>2</v>
      </c>
      <c r="BD57" s="7">
        <v>0.20524334548751555</v>
      </c>
      <c r="BE57" s="7" t="str">
        <f>"0"</f>
        <v>0</v>
      </c>
      <c r="BF57" t="str">
        <f ca="1">IF((OFFSET($A$1, 57 - 1, 56 - 1)) &gt;= (OFFSET($A$1, 92 - 1, 7 - 1)), "1","0")</f>
        <v>0</v>
      </c>
      <c r="BG57">
        <f ca="1" xml:space="preserve"> IF( AND( OFFSET($A$1, 57 - 1, 57 - 1) = "1", OFFSET($A$1, 57 - 1, 58 - 1) = "1" ), 1, IF( AND( OFFSET($A$1, 57 - 1, 57 - 1) = "1", OFFSET($A$1, 57 - 1, 58 - 1) = "0" ), 2, IF( AND( OFFSET($A$1, 57 - 1, 57 - 1) = "0", OFFSET($A$1, 57 - 1, 58 - 1) = "1" ), 3, 4 ) ) )</f>
        <v>4</v>
      </c>
    </row>
    <row r="58" spans="2:59" x14ac:dyDescent="0.25">
      <c r="AY58" s="7">
        <v>0.20524334548751555</v>
      </c>
      <c r="AZ58" s="7" t="str">
        <f>"1"</f>
        <v>1</v>
      </c>
      <c r="BA58" t="str">
        <f ca="1">IF((OFFSET($A$1, 58 - 1, 51 - 1)) &gt;= (OFFSET($A$1, 68 - 1, 7 - 1)), "1","0")</f>
        <v>0</v>
      </c>
      <c r="BB58">
        <f ca="1" xml:space="preserve"> IF( AND( OFFSET($A$1, 58 - 1, 52 - 1) = "1", OFFSET($A$1, 58 - 1, 53 - 1) = "1" ), 1, IF( AND( OFFSET($A$1, 58 - 1, 52 - 1) = "1", OFFSET($A$1, 58 - 1, 53 - 1) = "0" ), 2, IF( AND( OFFSET($A$1, 58 - 1, 52 - 1) = "0", OFFSET($A$1, 58 - 1, 53 - 1) = "1" ), 3, 4 ) ) )</f>
        <v>2</v>
      </c>
      <c r="BD58" s="7">
        <v>0.20524334548751555</v>
      </c>
      <c r="BE58" s="7" t="str">
        <f>"0"</f>
        <v>0</v>
      </c>
      <c r="BF58" t="str">
        <f ca="1">IF((OFFSET($A$1, 58 - 1, 56 - 1)) &gt;= (OFFSET($A$1, 92 - 1, 7 - 1)), "1","0")</f>
        <v>0</v>
      </c>
      <c r="BG58">
        <f ca="1" xml:space="preserve"> IF( AND( OFFSET($A$1, 58 - 1, 57 - 1) = "1", OFFSET($A$1, 58 - 1, 58 - 1) = "1" ), 1, IF( AND( OFFSET($A$1, 58 - 1, 57 - 1) = "1", OFFSET($A$1, 58 - 1, 58 - 1) = "0" ), 2, IF( AND( OFFSET($A$1, 58 - 1, 57 - 1) = "0", OFFSET($A$1, 58 - 1, 58 - 1) = "1" ), 3, 4 ) ) )</f>
        <v>4</v>
      </c>
    </row>
    <row r="59" spans="2:59" ht="18.75" x14ac:dyDescent="0.3">
      <c r="B59" s="26" t="s">
        <v>116</v>
      </c>
      <c r="AY59" s="7">
        <v>0.20524334548751555</v>
      </c>
      <c r="AZ59" s="7" t="str">
        <f>"0"</f>
        <v>0</v>
      </c>
      <c r="BA59" t="str">
        <f ca="1">IF((OFFSET($A$1, 59 - 1, 51 - 1)) &gt;= (OFFSET($A$1, 68 - 1, 7 - 1)), "1","0")</f>
        <v>0</v>
      </c>
      <c r="BB59">
        <f ca="1" xml:space="preserve"> IF( AND( OFFSET($A$1, 59 - 1, 52 - 1) = "1", OFFSET($A$1, 59 - 1, 53 - 1) = "1" ), 1, IF( AND( OFFSET($A$1, 59 - 1, 52 - 1) = "1", OFFSET($A$1, 59 - 1, 53 - 1) = "0" ), 2, IF( AND( OFFSET($A$1, 59 - 1, 52 - 1) = "0", OFFSET($A$1, 59 - 1, 53 - 1) = "1" ), 3, 4 ) ) )</f>
        <v>4</v>
      </c>
      <c r="BD59" s="7">
        <v>0.20524334548751555</v>
      </c>
      <c r="BE59" s="7" t="str">
        <f>"0"</f>
        <v>0</v>
      </c>
      <c r="BF59" t="str">
        <f ca="1">IF((OFFSET($A$1, 59 - 1, 56 - 1)) &gt;= (OFFSET($A$1, 92 - 1, 7 - 1)), "1","0")</f>
        <v>0</v>
      </c>
      <c r="BG59">
        <f ca="1" xml:space="preserve"> IF( AND( OFFSET($A$1, 59 - 1, 57 - 1) = "1", OFFSET($A$1, 59 - 1, 58 - 1) = "1" ), 1, IF( AND( OFFSET($A$1, 59 - 1, 57 - 1) = "1", OFFSET($A$1, 59 - 1, 58 - 1) = "0" ), 2, IF( AND( OFFSET($A$1, 59 - 1, 57 - 1) = "0", OFFSET($A$1, 59 - 1, 58 - 1) = "1" ), 3, 4 ) ) )</f>
        <v>4</v>
      </c>
    </row>
    <row r="60" spans="2:59" x14ac:dyDescent="0.25">
      <c r="AY60" s="7">
        <v>0.20524334548751555</v>
      </c>
      <c r="AZ60" s="7" t="str">
        <f>"0"</f>
        <v>0</v>
      </c>
      <c r="BA60" t="str">
        <f ca="1">IF((OFFSET($A$1, 60 - 1, 51 - 1)) &gt;= (OFFSET($A$1, 68 - 1, 7 - 1)), "1","0")</f>
        <v>0</v>
      </c>
      <c r="BB60">
        <f ca="1" xml:space="preserve"> IF( AND( OFFSET($A$1, 60 - 1, 52 - 1) = "1", OFFSET($A$1, 60 - 1, 53 - 1) = "1" ), 1, IF( AND( OFFSET($A$1, 60 - 1, 52 - 1) = "1", OFFSET($A$1, 60 - 1, 53 - 1) = "0" ), 2, IF( AND( OFFSET($A$1, 60 - 1, 52 - 1) = "0", OFFSET($A$1, 60 - 1, 53 - 1) = "1" ), 3, 4 ) ) )</f>
        <v>4</v>
      </c>
      <c r="BD60" s="7">
        <v>0.16903397659089944</v>
      </c>
      <c r="BE60" s="7" t="str">
        <f>"0"</f>
        <v>0</v>
      </c>
      <c r="BF60" t="str">
        <f ca="1">IF((OFFSET($A$1, 60 - 1, 56 - 1)) &gt;= (OFFSET($A$1, 92 - 1, 7 - 1)), "1","0")</f>
        <v>0</v>
      </c>
      <c r="BG60">
        <f ca="1" xml:space="preserve"> IF( AND( OFFSET($A$1, 60 - 1, 57 - 1) = "1", OFFSET($A$1, 60 - 1, 58 - 1) = "1" ), 1, IF( AND( OFFSET($A$1, 60 - 1, 57 - 1) = "1", OFFSET($A$1, 60 - 1, 58 - 1) = "0" ), 2, IF( AND( OFFSET($A$1, 60 - 1, 57 - 1) = "0", OFFSET($A$1, 60 - 1, 58 - 1) = "1" ), 3, 4 ) ) )</f>
        <v>4</v>
      </c>
    </row>
    <row r="61" spans="2:59" ht="25.5" x14ac:dyDescent="0.25">
      <c r="C61" s="30" t="s">
        <v>117</v>
      </c>
      <c r="D61" s="28" t="s">
        <v>118</v>
      </c>
      <c r="E61" s="28" t="s">
        <v>119</v>
      </c>
      <c r="F61" s="28" t="s">
        <v>120</v>
      </c>
      <c r="G61" s="28" t="s">
        <v>121</v>
      </c>
      <c r="H61" s="28" t="s">
        <v>122</v>
      </c>
      <c r="I61" s="28" t="s">
        <v>123</v>
      </c>
      <c r="J61" s="28" t="s">
        <v>124</v>
      </c>
      <c r="L61" s="9" t="s">
        <v>125</v>
      </c>
      <c r="M61" s="7">
        <v>298</v>
      </c>
      <c r="AY61" s="7">
        <v>0.20524334548751555</v>
      </c>
      <c r="AZ61" s="7" t="str">
        <f>"0"</f>
        <v>0</v>
      </c>
      <c r="BA61" t="str">
        <f ca="1">IF((OFFSET($A$1, 61 - 1, 51 - 1)) &gt;= (OFFSET($A$1, 68 - 1, 7 - 1)), "1","0")</f>
        <v>0</v>
      </c>
      <c r="BB61">
        <f ca="1" xml:space="preserve"> IF( AND( OFFSET($A$1, 61 - 1, 52 - 1) = "1", OFFSET($A$1, 61 - 1, 53 - 1) = "1" ), 1, IF( AND( OFFSET($A$1, 61 - 1, 52 - 1) = "1", OFFSET($A$1, 61 - 1, 53 - 1) = "0" ), 2, IF( AND( OFFSET($A$1, 61 - 1, 52 - 1) = "0", OFFSET($A$1, 61 - 1, 53 - 1) = "1" ), 3, 4 ) ) )</f>
        <v>4</v>
      </c>
      <c r="BD61" s="7">
        <v>0.20524334548751555</v>
      </c>
      <c r="BE61" s="7" t="str">
        <f>"0"</f>
        <v>0</v>
      </c>
      <c r="BF61" t="str">
        <f ca="1">IF((OFFSET($A$1, 61 - 1, 56 - 1)) &gt;= (OFFSET($A$1, 92 - 1, 7 - 1)), "1","0")</f>
        <v>0</v>
      </c>
      <c r="BG61">
        <f ca="1" xml:space="preserve"> IF( AND( OFFSET($A$1, 61 - 1, 57 - 1) = "1", OFFSET($A$1, 61 - 1, 58 - 1) = "1" ), 1, IF( AND( OFFSET($A$1, 61 - 1, 57 - 1) = "1", OFFSET($A$1, 61 - 1, 58 - 1) = "0" ), 2, IF( AND( OFFSET($A$1, 61 - 1, 57 - 1) = "0", OFFSET($A$1, 61 - 1, 58 - 1) = "1" ), 3, 4 ) ) )</f>
        <v>4</v>
      </c>
    </row>
    <row r="62" spans="2:59" x14ac:dyDescent="0.25">
      <c r="C62" s="9" t="s">
        <v>115</v>
      </c>
      <c r="D62" s="7">
        <v>-1.3538396465360079</v>
      </c>
      <c r="E62" s="7">
        <v>0.16361783049904241</v>
      </c>
      <c r="F62" s="7">
        <v>68.465722653922739</v>
      </c>
      <c r="G62" s="7">
        <v>1.2910228300654085E-16</v>
      </c>
      <c r="H62" s="7">
        <v>0.25824677820837483</v>
      </c>
      <c r="I62" s="7">
        <v>0.18739722793132149</v>
      </c>
      <c r="J62" s="7">
        <v>0.35588252393705105</v>
      </c>
      <c r="L62" s="9" t="s">
        <v>126</v>
      </c>
      <c r="M62" s="7">
        <v>296.98573374935944</v>
      </c>
      <c r="AY62" s="7">
        <v>0.20524334548751555</v>
      </c>
      <c r="AZ62" s="7" t="str">
        <f>"0"</f>
        <v>0</v>
      </c>
      <c r="BA62" t="str">
        <f ca="1">IF((OFFSET($A$1, 62 - 1, 51 - 1)) &gt;= (OFFSET($A$1, 68 - 1, 7 - 1)), "1","0")</f>
        <v>0</v>
      </c>
      <c r="BB62">
        <f ca="1" xml:space="preserve"> IF( AND( OFFSET($A$1, 62 - 1, 52 - 1) = "1", OFFSET($A$1, 62 - 1, 53 - 1) = "1" ), 1, IF( AND( OFFSET($A$1, 62 - 1, 52 - 1) = "1", OFFSET($A$1, 62 - 1, 53 - 1) = "0" ), 2, IF( AND( OFFSET($A$1, 62 - 1, 52 - 1) = "0", OFFSET($A$1, 62 - 1, 53 - 1) = "1" ), 3, 4 ) ) )</f>
        <v>4</v>
      </c>
      <c r="BD62" s="7">
        <v>0.20524334548751555</v>
      </c>
      <c r="BE62" s="7" t="str">
        <f>"0"</f>
        <v>0</v>
      </c>
      <c r="BF62" t="str">
        <f ca="1">IF((OFFSET($A$1, 62 - 1, 56 - 1)) &gt;= (OFFSET($A$1, 92 - 1, 7 - 1)), "1","0")</f>
        <v>0</v>
      </c>
      <c r="BG62">
        <f ca="1" xml:space="preserve"> IF( AND( OFFSET($A$1, 62 - 1, 57 - 1) = "1", OFFSET($A$1, 62 - 1, 58 - 1) = "1" ), 1, IF( AND( OFFSET($A$1, 62 - 1, 57 - 1) = "1", OFFSET($A$1, 62 - 1, 58 - 1) = "0" ), 2, IF( AND( OFFSET($A$1, 62 - 1, 57 - 1) = "0", OFFSET($A$1, 62 - 1, 58 - 1) = "1" ), 3, 4 ) ) )</f>
        <v>4</v>
      </c>
    </row>
    <row r="63" spans="2:59" x14ac:dyDescent="0.25">
      <c r="C63" s="9" t="s">
        <v>2</v>
      </c>
      <c r="D63" s="7">
        <v>-0.23864952145977772</v>
      </c>
      <c r="E63" s="7">
        <v>0.35643215248070648</v>
      </c>
      <c r="F63" s="7">
        <v>0.44829860672481114</v>
      </c>
      <c r="G63" s="7">
        <v>0.5031440281770867</v>
      </c>
      <c r="H63" s="7">
        <v>0.78769090275799669</v>
      </c>
      <c r="I63" s="7">
        <v>0.39170600678760992</v>
      </c>
      <c r="J63" s="7">
        <v>1.5839863252955697</v>
      </c>
      <c r="L63" s="9" t="s">
        <v>127</v>
      </c>
      <c r="M63" s="7">
        <v>2</v>
      </c>
      <c r="AY63" s="7">
        <v>0.16903397659089944</v>
      </c>
      <c r="AZ63" s="7" t="str">
        <f>"0"</f>
        <v>0</v>
      </c>
      <c r="BA63" t="str">
        <f ca="1">IF((OFFSET($A$1, 63 - 1, 51 - 1)) &gt;= (OFFSET($A$1, 68 - 1, 7 - 1)), "1","0")</f>
        <v>0</v>
      </c>
      <c r="BB63">
        <f ca="1" xml:space="preserve"> IF( AND( OFFSET($A$1, 63 - 1, 52 - 1) = "1", OFFSET($A$1, 63 - 1, 53 - 1) = "1" ), 1, IF( AND( OFFSET($A$1, 63 - 1, 52 - 1) = "1", OFFSET($A$1, 63 - 1, 53 - 1) = "0" ), 2, IF( AND( OFFSET($A$1, 63 - 1, 52 - 1) = "0", OFFSET($A$1, 63 - 1, 53 - 1) = "1" ), 3, 4 ) ) )</f>
        <v>4</v>
      </c>
      <c r="BD63" s="7">
        <v>0.16903397659089944</v>
      </c>
      <c r="BE63" s="7" t="str">
        <f>"0"</f>
        <v>0</v>
      </c>
      <c r="BF63" t="str">
        <f ca="1">IF((OFFSET($A$1, 63 - 1, 56 - 1)) &gt;= (OFFSET($A$1, 92 - 1, 7 - 1)), "1","0")</f>
        <v>0</v>
      </c>
      <c r="BG63">
        <f ca="1" xml:space="preserve"> IF( AND( OFFSET($A$1, 63 - 1, 57 - 1) = "1", OFFSET($A$1, 63 - 1, 58 - 1) = "1" ), 1, IF( AND( OFFSET($A$1, 63 - 1, 57 - 1) = "1", OFFSET($A$1, 63 - 1, 58 - 1) = "0" ), 2, IF( AND( OFFSET($A$1, 63 - 1, 57 - 1) = "0", OFFSET($A$1, 63 - 1, 58 - 1) = "1" ), 3, 4 ) ) )</f>
        <v>4</v>
      </c>
    </row>
    <row r="64" spans="2:59" x14ac:dyDescent="0.25">
      <c r="L64" s="9" t="s">
        <v>128</v>
      </c>
      <c r="M64" s="7">
        <v>1.5539213821550435E-3</v>
      </c>
      <c r="AY64" s="7">
        <v>0.20524334548751555</v>
      </c>
      <c r="AZ64" s="7" t="str">
        <f>"0"</f>
        <v>0</v>
      </c>
      <c r="BA64" t="str">
        <f ca="1">IF((OFFSET($A$1, 64 - 1, 51 - 1)) &gt;= (OFFSET($A$1, 68 - 1, 7 - 1)), "1","0")</f>
        <v>0</v>
      </c>
      <c r="BB64">
        <f ca="1" xml:space="preserve"> IF( AND( OFFSET($A$1, 64 - 1, 52 - 1) = "1", OFFSET($A$1, 64 - 1, 53 - 1) = "1" ), 1, IF( AND( OFFSET($A$1, 64 - 1, 52 - 1) = "1", OFFSET($A$1, 64 - 1, 53 - 1) = "0" ), 2, IF( AND( OFFSET($A$1, 64 - 1, 52 - 1) = "0", OFFSET($A$1, 64 - 1, 53 - 1) = "1" ), 3, 4 ) ) )</f>
        <v>4</v>
      </c>
      <c r="BD64" s="7">
        <v>0.20524334548751555</v>
      </c>
      <c r="BE64" s="7" t="str">
        <f>"0"</f>
        <v>0</v>
      </c>
      <c r="BF64" t="str">
        <f ca="1">IF((OFFSET($A$1, 64 - 1, 56 - 1)) &gt;= (OFFSET($A$1, 92 - 1, 7 - 1)), "1","0")</f>
        <v>0</v>
      </c>
      <c r="BG64">
        <f ca="1" xml:space="preserve"> IF( AND( OFFSET($A$1, 64 - 1, 57 - 1) = "1", OFFSET($A$1, 64 - 1, 58 - 1) = "1" ), 1, IF( AND( OFFSET($A$1, 64 - 1, 57 - 1) = "1", OFFSET($A$1, 64 - 1, 58 - 1) = "0" ), 2, IF( AND( OFFSET($A$1, 64 - 1, 57 - 1) = "0", OFFSET($A$1, 64 - 1, 58 - 1) = "1" ), 3, 4 ) ) )</f>
        <v>4</v>
      </c>
    </row>
    <row r="65" spans="2:59" x14ac:dyDescent="0.25">
      <c r="AY65" s="7">
        <v>0.20524334548751555</v>
      </c>
      <c r="AZ65" s="7" t="str">
        <f>"0"</f>
        <v>0</v>
      </c>
      <c r="BA65" t="str">
        <f ca="1">IF((OFFSET($A$1, 65 - 1, 51 - 1)) &gt;= (OFFSET($A$1, 68 - 1, 7 - 1)), "1","0")</f>
        <v>0</v>
      </c>
      <c r="BB65">
        <f ca="1" xml:space="preserve"> IF( AND( OFFSET($A$1, 65 - 1, 52 - 1) = "1", OFFSET($A$1, 65 - 1, 53 - 1) = "1" ), 1, IF( AND( OFFSET($A$1, 65 - 1, 52 - 1) = "1", OFFSET($A$1, 65 - 1, 53 - 1) = "0" ), 2, IF( AND( OFFSET($A$1, 65 - 1, 52 - 1) = "0", OFFSET($A$1, 65 - 1, 53 - 1) = "1" ), 3, 4 ) ) )</f>
        <v>4</v>
      </c>
      <c r="BD65" s="7">
        <v>0.20524334548751555</v>
      </c>
      <c r="BE65" s="7" t="str">
        <f>"0"</f>
        <v>0</v>
      </c>
      <c r="BF65" t="str">
        <f ca="1">IF((OFFSET($A$1, 65 - 1, 56 - 1)) &gt;= (OFFSET($A$1, 92 - 1, 7 - 1)), "1","0")</f>
        <v>0</v>
      </c>
      <c r="BG65">
        <f ca="1" xml:space="preserve"> IF( AND( OFFSET($A$1, 65 - 1, 57 - 1) = "1", OFFSET($A$1, 65 - 1, 58 - 1) = "1" ), 1, IF( AND( OFFSET($A$1, 65 - 1, 57 - 1) = "1", OFFSET($A$1, 65 - 1, 58 - 1) = "0" ), 2, IF( AND( OFFSET($A$1, 65 - 1, 57 - 1) = "0", OFFSET($A$1, 65 - 1, 58 - 1) = "1" ), 3, 4 ) ) )</f>
        <v>4</v>
      </c>
    </row>
    <row r="66" spans="2:59" ht="18.75" x14ac:dyDescent="0.3">
      <c r="B66" s="26" t="s">
        <v>138</v>
      </c>
      <c r="AY66" s="7">
        <v>0.20524334548751555</v>
      </c>
      <c r="AZ66" s="7" t="str">
        <f>"0"</f>
        <v>0</v>
      </c>
      <c r="BA66" t="str">
        <f ca="1">IF((OFFSET($A$1, 66 - 1, 51 - 1)) &gt;= (OFFSET($A$1, 68 - 1, 7 - 1)), "1","0")</f>
        <v>0</v>
      </c>
      <c r="BB66">
        <f ca="1" xml:space="preserve"> IF( AND( OFFSET($A$1, 66 - 1, 52 - 1) = "1", OFFSET($A$1, 66 - 1, 53 - 1) = "1" ), 1, IF( AND( OFFSET($A$1, 66 - 1, 52 - 1) = "1", OFFSET($A$1, 66 - 1, 53 - 1) = "0" ), 2, IF( AND( OFFSET($A$1, 66 - 1, 52 - 1) = "0", OFFSET($A$1, 66 - 1, 53 - 1) = "1" ), 3, 4 ) ) )</f>
        <v>4</v>
      </c>
      <c r="BD66" s="7">
        <v>0.20524334548751555</v>
      </c>
      <c r="BE66" s="7" t="str">
        <f>"0"</f>
        <v>0</v>
      </c>
      <c r="BF66" t="str">
        <f ca="1">IF((OFFSET($A$1, 66 - 1, 56 - 1)) &gt;= (OFFSET($A$1, 92 - 1, 7 - 1)), "1","0")</f>
        <v>0</v>
      </c>
      <c r="BG66">
        <f ca="1" xml:space="preserve"> IF( AND( OFFSET($A$1, 66 - 1, 57 - 1) = "1", OFFSET($A$1, 66 - 1, 58 - 1) = "1" ), 1, IF( AND( OFFSET($A$1, 66 - 1, 57 - 1) = "1", OFFSET($A$1, 66 - 1, 58 - 1) = "0" ), 2, IF( AND( OFFSET($A$1, 66 - 1, 57 - 1) = "0", OFFSET($A$1, 66 - 1, 58 - 1) = "1" ), 3, 4 ) ) )</f>
        <v>4</v>
      </c>
    </row>
    <row r="67" spans="2:59" x14ac:dyDescent="0.25">
      <c r="AY67" s="7">
        <v>0.20524334548751555</v>
      </c>
      <c r="AZ67" s="7" t="str">
        <f>"1"</f>
        <v>1</v>
      </c>
      <c r="BA67" t="str">
        <f ca="1">IF((OFFSET($A$1, 67 - 1, 51 - 1)) &gt;= (OFFSET($A$1, 68 - 1, 7 - 1)), "1","0")</f>
        <v>0</v>
      </c>
      <c r="BB67">
        <f ca="1" xml:space="preserve"> IF( AND( OFFSET($A$1, 67 - 1, 52 - 1) = "1", OFFSET($A$1, 67 - 1, 53 - 1) = "1" ), 1, IF( AND( OFFSET($A$1, 67 - 1, 52 - 1) = "1", OFFSET($A$1, 67 - 1, 53 - 1) = "0" ), 2, IF( AND( OFFSET($A$1, 67 - 1, 52 - 1) = "0", OFFSET($A$1, 67 - 1, 53 - 1) = "1" ), 3, 4 ) ) )</f>
        <v>2</v>
      </c>
      <c r="BD67" s="7">
        <v>0.20524334548751555</v>
      </c>
      <c r="BE67" s="7" t="str">
        <f>"0"</f>
        <v>0</v>
      </c>
      <c r="BF67" t="str">
        <f ca="1">IF((OFFSET($A$1, 67 - 1, 56 - 1)) &gt;= (OFFSET($A$1, 92 - 1, 7 - 1)), "1","0")</f>
        <v>0</v>
      </c>
      <c r="BG67">
        <f ca="1" xml:space="preserve"> IF( AND( OFFSET($A$1, 67 - 1, 57 - 1) = "1", OFFSET($A$1, 67 - 1, 58 - 1) = "1" ), 1, IF( AND( OFFSET($A$1, 67 - 1, 57 - 1) = "1", OFFSET($A$1, 67 - 1, 58 - 1) = "0" ), 2, IF( AND( OFFSET($A$1, 67 - 1, 57 - 1) = "0", OFFSET($A$1, 67 - 1, 58 - 1) = "1" ), 3, 4 ) ) )</f>
        <v>4</v>
      </c>
    </row>
    <row r="68" spans="2:59" x14ac:dyDescent="0.25">
      <c r="C68" s="41" t="s">
        <v>139</v>
      </c>
      <c r="D68" s="42"/>
      <c r="E68" s="42"/>
      <c r="F68" s="43"/>
      <c r="G68" s="31">
        <v>0.5</v>
      </c>
      <c r="H68" s="41" t="s">
        <v>140</v>
      </c>
      <c r="I68" s="42"/>
      <c r="J68" s="42"/>
      <c r="K68" s="42"/>
      <c r="L68" s="42"/>
      <c r="M68" s="43"/>
      <c r="AY68" s="7">
        <v>0.16903397659089944</v>
      </c>
      <c r="AZ68" s="7" t="str">
        <f>"0"</f>
        <v>0</v>
      </c>
      <c r="BA68" t="str">
        <f ca="1">IF((OFFSET($A$1, 68 - 1, 51 - 1)) &gt;= (OFFSET($A$1, 68 - 1, 7 - 1)), "1","0")</f>
        <v>0</v>
      </c>
      <c r="BB68">
        <f ca="1" xml:space="preserve"> IF( AND( OFFSET($A$1, 68 - 1, 52 - 1) = "1", OFFSET($A$1, 68 - 1, 53 - 1) = "1" ), 1, IF( AND( OFFSET($A$1, 68 - 1, 52 - 1) = "1", OFFSET($A$1, 68 - 1, 53 - 1) = "0" ), 2, IF( AND( OFFSET($A$1, 68 - 1, 52 - 1) = "0", OFFSET($A$1, 68 - 1, 53 - 1) = "1" ), 3, 4 ) ) )</f>
        <v>4</v>
      </c>
      <c r="BD68" s="7">
        <v>0.16903397659089944</v>
      </c>
      <c r="BE68" s="7" t="str">
        <f>"0"</f>
        <v>0</v>
      </c>
      <c r="BF68" t="str">
        <f ca="1">IF((OFFSET($A$1, 68 - 1, 56 - 1)) &gt;= (OFFSET($A$1, 92 - 1, 7 - 1)), "1","0")</f>
        <v>0</v>
      </c>
      <c r="BG68">
        <f ca="1" xml:space="preserve"> IF( AND( OFFSET($A$1, 68 - 1, 57 - 1) = "1", OFFSET($A$1, 68 - 1, 58 - 1) = "1" ), 1, IF( AND( OFFSET($A$1, 68 - 1, 57 - 1) = "1", OFFSET($A$1, 68 - 1, 58 - 1) = "0" ), 2, IF( AND( OFFSET($A$1, 68 - 1, 57 - 1) = "0", OFFSET($A$1, 68 - 1, 58 - 1) = "1" ), 3, 4 ) ) )</f>
        <v>4</v>
      </c>
    </row>
    <row r="69" spans="2:59" x14ac:dyDescent="0.25">
      <c r="AY69" s="7">
        <v>0.20524334548751555</v>
      </c>
      <c r="AZ69" s="7" t="str">
        <f>"0"</f>
        <v>0</v>
      </c>
      <c r="BA69" t="str">
        <f ca="1">IF((OFFSET($A$1, 69 - 1, 51 - 1)) &gt;= (OFFSET($A$1, 68 - 1, 7 - 1)), "1","0")</f>
        <v>0</v>
      </c>
      <c r="BB69">
        <f ca="1" xml:space="preserve"> IF( AND( OFFSET($A$1, 69 - 1, 52 - 1) = "1", OFFSET($A$1, 69 - 1, 53 - 1) = "1" ), 1, IF( AND( OFFSET($A$1, 69 - 1, 52 - 1) = "1", OFFSET($A$1, 69 - 1, 53 - 1) = "0" ), 2, IF( AND( OFFSET($A$1, 69 - 1, 52 - 1) = "0", OFFSET($A$1, 69 - 1, 53 - 1) = "1" ), 3, 4 ) ) )</f>
        <v>4</v>
      </c>
      <c r="BD69" s="7">
        <v>0.20524334548751555</v>
      </c>
      <c r="BE69" s="7" t="str">
        <f>"0"</f>
        <v>0</v>
      </c>
      <c r="BF69" t="str">
        <f ca="1">IF((OFFSET($A$1, 69 - 1, 56 - 1)) &gt;= (OFFSET($A$1, 92 - 1, 7 - 1)), "1","0")</f>
        <v>0</v>
      </c>
      <c r="BG69">
        <f ca="1" xml:space="preserve"> IF( AND( OFFSET($A$1, 69 - 1, 57 - 1) = "1", OFFSET($A$1, 69 - 1, 58 - 1) = "1" ), 1, IF( AND( OFFSET($A$1, 69 - 1, 57 - 1) = "1", OFFSET($A$1, 69 - 1, 58 - 1) = "0" ), 2, IF( AND( OFFSET($A$1, 69 - 1, 57 - 1) = "0", OFFSET($A$1, 69 - 1, 58 - 1) = "1" ), 3, 4 ) ) )</f>
        <v>4</v>
      </c>
    </row>
    <row r="70" spans="2:59" x14ac:dyDescent="0.25">
      <c r="C70" s="11" t="s">
        <v>141</v>
      </c>
      <c r="D70" s="12"/>
      <c r="E70" s="13"/>
      <c r="AY70" s="7">
        <v>0.20524334548751555</v>
      </c>
      <c r="AZ70" s="7" t="str">
        <f>"0"</f>
        <v>0</v>
      </c>
      <c r="BA70" t="str">
        <f ca="1">IF((OFFSET($A$1, 70 - 1, 51 - 1)) &gt;= (OFFSET($A$1, 68 - 1, 7 - 1)), "1","0")</f>
        <v>0</v>
      </c>
      <c r="BB70">
        <f ca="1" xml:space="preserve"> IF( AND( OFFSET($A$1, 70 - 1, 52 - 1) = "1", OFFSET($A$1, 70 - 1, 53 - 1) = "1" ), 1, IF( AND( OFFSET($A$1, 70 - 1, 52 - 1) = "1", OFFSET($A$1, 70 - 1, 53 - 1) = "0" ), 2, IF( AND( OFFSET($A$1, 70 - 1, 52 - 1) = "0", OFFSET($A$1, 70 - 1, 53 - 1) = "1" ), 3, 4 ) ) )</f>
        <v>4</v>
      </c>
      <c r="BD70" s="7">
        <v>0.20524334548751555</v>
      </c>
      <c r="BE70" s="7" t="str">
        <f>"1"</f>
        <v>1</v>
      </c>
      <c r="BF70" t="str">
        <f ca="1">IF((OFFSET($A$1, 70 - 1, 56 - 1)) &gt;= (OFFSET($A$1, 92 - 1, 7 - 1)), "1","0")</f>
        <v>0</v>
      </c>
      <c r="BG70">
        <f ca="1" xml:space="preserve"> IF( AND( OFFSET($A$1, 70 - 1, 57 - 1) = "1", OFFSET($A$1, 70 - 1, 58 - 1) = "1" ), 1, IF( AND( OFFSET($A$1, 70 - 1, 57 - 1) = "1", OFFSET($A$1, 70 - 1, 58 - 1) = "0" ), 2, IF( AND( OFFSET($A$1, 70 - 1, 57 - 1) = "0", OFFSET($A$1, 70 - 1, 58 - 1) = "1" ), 3, 4 ) ) )</f>
        <v>2</v>
      </c>
    </row>
    <row r="71" spans="2:59" x14ac:dyDescent="0.25">
      <c r="C71" s="10"/>
      <c r="D71" s="44" t="s">
        <v>142</v>
      </c>
      <c r="E71" s="45"/>
      <c r="AY71" s="7">
        <v>0.20524334548751555</v>
      </c>
      <c r="AZ71" s="7" t="str">
        <f>"0"</f>
        <v>0</v>
      </c>
      <c r="BA71" t="str">
        <f ca="1">IF((OFFSET($A$1, 71 - 1, 51 - 1)) &gt;= (OFFSET($A$1, 68 - 1, 7 - 1)), "1","0")</f>
        <v>0</v>
      </c>
      <c r="BB71">
        <f ca="1" xml:space="preserve"> IF( AND( OFFSET($A$1, 71 - 1, 52 - 1) = "1", OFFSET($A$1, 71 - 1, 53 - 1) = "1" ), 1, IF( AND( OFFSET($A$1, 71 - 1, 52 - 1) = "1", OFFSET($A$1, 71 - 1, 53 - 1) = "0" ), 2, IF( AND( OFFSET($A$1, 71 - 1, 52 - 1) = "0", OFFSET($A$1, 71 - 1, 53 - 1) = "1" ), 3, 4 ) ) )</f>
        <v>4</v>
      </c>
      <c r="BD71" s="7">
        <v>0.20524334548751555</v>
      </c>
      <c r="BE71" s="7" t="str">
        <f>"1"</f>
        <v>1</v>
      </c>
      <c r="BF71" t="str">
        <f ca="1">IF((OFFSET($A$1, 71 - 1, 56 - 1)) &gt;= (OFFSET($A$1, 92 - 1, 7 - 1)), "1","0")</f>
        <v>0</v>
      </c>
      <c r="BG71">
        <f ca="1" xml:space="preserve"> IF( AND( OFFSET($A$1, 71 - 1, 57 - 1) = "1", OFFSET($A$1, 71 - 1, 58 - 1) = "1" ), 1, IF( AND( OFFSET($A$1, 71 - 1, 57 - 1) = "1", OFFSET($A$1, 71 - 1, 58 - 1) = "0" ), 2, IF( AND( OFFSET($A$1, 71 - 1, 57 - 1) = "0", OFFSET($A$1, 71 - 1, 58 - 1) = "1" ), 3, 4 ) ) )</f>
        <v>2</v>
      </c>
    </row>
    <row r="72" spans="2:59" x14ac:dyDescent="0.25">
      <c r="C72" s="9" t="s">
        <v>143</v>
      </c>
      <c r="D72" s="10">
        <v>1</v>
      </c>
      <c r="E72" s="10">
        <v>0</v>
      </c>
      <c r="AY72" s="7">
        <v>0.20524334548751555</v>
      </c>
      <c r="AZ72" s="7" t="str">
        <f>"0"</f>
        <v>0</v>
      </c>
      <c r="BA72" t="str">
        <f ca="1">IF((OFFSET($A$1, 72 - 1, 51 - 1)) &gt;= (OFFSET($A$1, 68 - 1, 7 - 1)), "1","0")</f>
        <v>0</v>
      </c>
      <c r="BB72">
        <f ca="1" xml:space="preserve"> IF( AND( OFFSET($A$1, 72 - 1, 52 - 1) = "1", OFFSET($A$1, 72 - 1, 53 - 1) = "1" ), 1, IF( AND( OFFSET($A$1, 72 - 1, 52 - 1) = "1", OFFSET($A$1, 72 - 1, 53 - 1) = "0" ), 2, IF( AND( OFFSET($A$1, 72 - 1, 52 - 1) = "0", OFFSET($A$1, 72 - 1, 53 - 1) = "1" ), 3, 4 ) ) )</f>
        <v>4</v>
      </c>
      <c r="BD72" s="7">
        <v>0.20524334548751555</v>
      </c>
      <c r="BE72" s="7" t="str">
        <f>"0"</f>
        <v>0</v>
      </c>
      <c r="BF72" t="str">
        <f ca="1">IF((OFFSET($A$1, 72 - 1, 56 - 1)) &gt;= (OFFSET($A$1, 92 - 1, 7 - 1)), "1","0")</f>
        <v>0</v>
      </c>
      <c r="BG72">
        <f ca="1" xml:space="preserve"> IF( AND( OFFSET($A$1, 72 - 1, 57 - 1) = "1", OFFSET($A$1, 72 - 1, 58 - 1) = "1" ), 1, IF( AND( OFFSET($A$1, 72 - 1, 57 - 1) = "1", OFFSET($A$1, 72 - 1, 58 - 1) = "0" ), 2, IF( AND( OFFSET($A$1, 72 - 1, 57 - 1) = "0", OFFSET($A$1, 72 - 1, 58 - 1) = "1" ), 3, 4 ) ) )</f>
        <v>4</v>
      </c>
    </row>
    <row r="73" spans="2:59" x14ac:dyDescent="0.25">
      <c r="C73" s="9">
        <v>1</v>
      </c>
      <c r="D73" s="7">
        <f ca="1" xml:space="preserve"> COUNTIF( OFFSET($A$1, 1 - 1, 54 - 1, 301, 1), 1 )</f>
        <v>0</v>
      </c>
      <c r="E73" s="7">
        <f ca="1" xml:space="preserve"> COUNTIF( OFFSET($A$1, 1 - 1, 54 - 1, 301, 1), 2 )</f>
        <v>59</v>
      </c>
      <c r="AY73" s="7">
        <v>0.16903397659089944</v>
      </c>
      <c r="AZ73" s="7" t="str">
        <f>"0"</f>
        <v>0</v>
      </c>
      <c r="BA73" t="str">
        <f ca="1">IF((OFFSET($A$1, 73 - 1, 51 - 1)) &gt;= (OFFSET($A$1, 68 - 1, 7 - 1)), "1","0")</f>
        <v>0</v>
      </c>
      <c r="BB73">
        <f ca="1" xml:space="preserve"> IF( AND( OFFSET($A$1, 73 - 1, 52 - 1) = "1", OFFSET($A$1, 73 - 1, 53 - 1) = "1" ), 1, IF( AND( OFFSET($A$1, 73 - 1, 52 - 1) = "1", OFFSET($A$1, 73 - 1, 53 - 1) = "0" ), 2, IF( AND( OFFSET($A$1, 73 - 1, 52 - 1) = "0", OFFSET($A$1, 73 - 1, 53 - 1) = "1" ), 3, 4 ) ) )</f>
        <v>4</v>
      </c>
      <c r="BD73" s="7">
        <v>0.16903397659089944</v>
      </c>
      <c r="BE73" s="7" t="str">
        <f>"1"</f>
        <v>1</v>
      </c>
      <c r="BF73" t="str">
        <f ca="1">IF((OFFSET($A$1, 73 - 1, 56 - 1)) &gt;= (OFFSET($A$1, 92 - 1, 7 - 1)), "1","0")</f>
        <v>0</v>
      </c>
      <c r="BG73">
        <f ca="1" xml:space="preserve"> IF( AND( OFFSET($A$1, 73 - 1, 57 - 1) = "1", OFFSET($A$1, 73 - 1, 58 - 1) = "1" ), 1, IF( AND( OFFSET($A$1, 73 - 1, 57 - 1) = "1", OFFSET($A$1, 73 - 1, 58 - 1) = "0" ), 2, IF( AND( OFFSET($A$1, 73 - 1, 57 - 1) = "0", OFFSET($A$1, 73 - 1, 58 - 1) = "1" ), 3, 4 ) ) )</f>
        <v>2</v>
      </c>
    </row>
    <row r="74" spans="2:59" x14ac:dyDescent="0.25">
      <c r="C74" s="9">
        <v>0</v>
      </c>
      <c r="D74" s="7">
        <f ca="1" xml:space="preserve"> COUNTIF( OFFSET($A$1, 1 - 1, 54 - 1, 301, 1), 3 )</f>
        <v>0</v>
      </c>
      <c r="E74" s="7">
        <f ca="1" xml:space="preserve"> COUNTIF( OFFSET($A$1, 1 - 1, 54 - 1, 301, 1), 4 )</f>
        <v>241</v>
      </c>
      <c r="AY74" s="7">
        <v>0.20524334548751555</v>
      </c>
      <c r="AZ74" s="7" t="str">
        <f>"0"</f>
        <v>0</v>
      </c>
      <c r="BA74" t="str">
        <f ca="1">IF((OFFSET($A$1, 74 - 1, 51 - 1)) &gt;= (OFFSET($A$1, 68 - 1, 7 - 1)), "1","0")</f>
        <v>0</v>
      </c>
      <c r="BB74">
        <f ca="1" xml:space="preserve"> IF( AND( OFFSET($A$1, 74 - 1, 52 - 1) = "1", OFFSET($A$1, 74 - 1, 53 - 1) = "1" ), 1, IF( AND( OFFSET($A$1, 74 - 1, 52 - 1) = "1", OFFSET($A$1, 74 - 1, 53 - 1) = "0" ), 2, IF( AND( OFFSET($A$1, 74 - 1, 52 - 1) = "0", OFFSET($A$1, 74 - 1, 53 - 1) = "1" ), 3, 4 ) ) )</f>
        <v>4</v>
      </c>
      <c r="BD74" s="7">
        <v>0.20524334548751555</v>
      </c>
      <c r="BE74" s="7" t="str">
        <f>"0"</f>
        <v>0</v>
      </c>
      <c r="BF74" t="str">
        <f ca="1">IF((OFFSET($A$1, 74 - 1, 56 - 1)) &gt;= (OFFSET($A$1, 92 - 1, 7 - 1)), "1","0")</f>
        <v>0</v>
      </c>
      <c r="BG74">
        <f ca="1" xml:space="preserve"> IF( AND( OFFSET($A$1, 74 - 1, 57 - 1) = "1", OFFSET($A$1, 74 - 1, 58 - 1) = "1" ), 1, IF( AND( OFFSET($A$1, 74 - 1, 57 - 1) = "1", OFFSET($A$1, 74 - 1, 58 - 1) = "0" ), 2, IF( AND( OFFSET($A$1, 74 - 1, 57 - 1) = "0", OFFSET($A$1, 74 - 1, 58 - 1) = "1" ), 3, 4 ) ) )</f>
        <v>4</v>
      </c>
    </row>
    <row r="75" spans="2:59" x14ac:dyDescent="0.25">
      <c r="AY75" s="7">
        <v>0.16903397659089944</v>
      </c>
      <c r="AZ75" s="7" t="str">
        <f>"0"</f>
        <v>0</v>
      </c>
      <c r="BA75" t="str">
        <f ca="1">IF((OFFSET($A$1, 75 - 1, 51 - 1)) &gt;= (OFFSET($A$1, 68 - 1, 7 - 1)), "1","0")</f>
        <v>0</v>
      </c>
      <c r="BB75">
        <f ca="1" xml:space="preserve"> IF( AND( OFFSET($A$1, 75 - 1, 52 - 1) = "1", OFFSET($A$1, 75 - 1, 53 - 1) = "1" ), 1, IF( AND( OFFSET($A$1, 75 - 1, 52 - 1) = "1", OFFSET($A$1, 75 - 1, 53 - 1) = "0" ), 2, IF( AND( OFFSET($A$1, 75 - 1, 52 - 1) = "0", OFFSET($A$1, 75 - 1, 53 - 1) = "1" ), 3, 4 ) ) )</f>
        <v>4</v>
      </c>
      <c r="BD75" s="7">
        <v>0.20524334548751555</v>
      </c>
      <c r="BE75" s="7" t="str">
        <f>"0"</f>
        <v>0</v>
      </c>
      <c r="BF75" t="str">
        <f ca="1">IF((OFFSET($A$1, 75 - 1, 56 - 1)) &gt;= (OFFSET($A$1, 92 - 1, 7 - 1)), "1","0")</f>
        <v>0</v>
      </c>
      <c r="BG75">
        <f ca="1" xml:space="preserve"> IF( AND( OFFSET($A$1, 75 - 1, 57 - 1) = "1", OFFSET($A$1, 75 - 1, 58 - 1) = "1" ), 1, IF( AND( OFFSET($A$1, 75 - 1, 57 - 1) = "1", OFFSET($A$1, 75 - 1, 58 - 1) = "0" ), 2, IF( AND( OFFSET($A$1, 75 - 1, 57 - 1) = "0", OFFSET($A$1, 75 - 1, 58 - 1) = "1" ), 3, 4 ) ) )</f>
        <v>4</v>
      </c>
    </row>
    <row r="76" spans="2:59" x14ac:dyDescent="0.25">
      <c r="C76" s="11" t="s">
        <v>144</v>
      </c>
      <c r="D76" s="12"/>
      <c r="E76" s="12"/>
      <c r="F76" s="13"/>
      <c r="AY76" s="7">
        <v>0.16903397659089944</v>
      </c>
      <c r="AZ76" s="7" t="str">
        <f>"0"</f>
        <v>0</v>
      </c>
      <c r="BA76" t="str">
        <f ca="1">IF((OFFSET($A$1, 76 - 1, 51 - 1)) &gt;= (OFFSET($A$1, 68 - 1, 7 - 1)), "1","0")</f>
        <v>0</v>
      </c>
      <c r="BB76">
        <f ca="1" xml:space="preserve"> IF( AND( OFFSET($A$1, 76 - 1, 52 - 1) = "1", OFFSET($A$1, 76 - 1, 53 - 1) = "1" ), 1, IF( AND( OFFSET($A$1, 76 - 1, 52 - 1) = "1", OFFSET($A$1, 76 - 1, 53 - 1) = "0" ), 2, IF( AND( OFFSET($A$1, 76 - 1, 52 - 1) = "0", OFFSET($A$1, 76 - 1, 53 - 1) = "1" ), 3, 4 ) ) )</f>
        <v>4</v>
      </c>
      <c r="BD76" s="7">
        <v>0.20524334548751555</v>
      </c>
      <c r="BE76" s="7" t="str">
        <f>"0"</f>
        <v>0</v>
      </c>
      <c r="BF76" t="str">
        <f ca="1">IF((OFFSET($A$1, 76 - 1, 56 - 1)) &gt;= (OFFSET($A$1, 92 - 1, 7 - 1)), "1","0")</f>
        <v>0</v>
      </c>
      <c r="BG76">
        <f ca="1" xml:space="preserve"> IF( AND( OFFSET($A$1, 76 - 1, 57 - 1) = "1", OFFSET($A$1, 76 - 1, 58 - 1) = "1" ), 1, IF( AND( OFFSET($A$1, 76 - 1, 57 - 1) = "1", OFFSET($A$1, 76 - 1, 58 - 1) = "0" ), 2, IF( AND( OFFSET($A$1, 76 - 1, 57 - 1) = "0", OFFSET($A$1, 76 - 1, 58 - 1) = "1" ), 3, 4 ) ) )</f>
        <v>4</v>
      </c>
    </row>
    <row r="77" spans="2:59" x14ac:dyDescent="0.25">
      <c r="C77" s="10" t="s">
        <v>107</v>
      </c>
      <c r="D77" s="10" t="s">
        <v>145</v>
      </c>
      <c r="E77" s="10" t="s">
        <v>146</v>
      </c>
      <c r="F77" s="10" t="s">
        <v>147</v>
      </c>
      <c r="AY77" s="7">
        <v>0.20524334548751555</v>
      </c>
      <c r="AZ77" s="7" t="str">
        <f>"0"</f>
        <v>0</v>
      </c>
      <c r="BA77" t="str">
        <f ca="1">IF((OFFSET($A$1, 77 - 1, 51 - 1)) &gt;= (OFFSET($A$1, 68 - 1, 7 - 1)), "1","0")</f>
        <v>0</v>
      </c>
      <c r="BB77">
        <f ca="1" xml:space="preserve"> IF( AND( OFFSET($A$1, 77 - 1, 52 - 1) = "1", OFFSET($A$1, 77 - 1, 53 - 1) = "1" ), 1, IF( AND( OFFSET($A$1, 77 - 1, 52 - 1) = "1", OFFSET($A$1, 77 - 1, 53 - 1) = "0" ), 2, IF( AND( OFFSET($A$1, 77 - 1, 52 - 1) = "0", OFFSET($A$1, 77 - 1, 53 - 1) = "1" ), 3, 4 ) ) )</f>
        <v>4</v>
      </c>
      <c r="BD77" s="7">
        <v>0.20524334548751555</v>
      </c>
      <c r="BE77" s="7" t="str">
        <f>"1"</f>
        <v>1</v>
      </c>
      <c r="BF77" t="str">
        <f ca="1">IF((OFFSET($A$1, 77 - 1, 56 - 1)) &gt;= (OFFSET($A$1, 92 - 1, 7 - 1)), "1","0")</f>
        <v>0</v>
      </c>
      <c r="BG77">
        <f ca="1" xml:space="preserve"> IF( AND( OFFSET($A$1, 77 - 1, 57 - 1) = "1", OFFSET($A$1, 77 - 1, 58 - 1) = "1" ), 1, IF( AND( OFFSET($A$1, 77 - 1, 57 - 1) = "1", OFFSET($A$1, 77 - 1, 58 - 1) = "0" ), 2, IF( AND( OFFSET($A$1, 77 - 1, 57 - 1) = "0", OFFSET($A$1, 77 - 1, 58 - 1) = "1" ), 3, 4 ) ) )</f>
        <v>2</v>
      </c>
    </row>
    <row r="78" spans="2:59" x14ac:dyDescent="0.25">
      <c r="C78" s="9">
        <v>1</v>
      </c>
      <c r="D78" s="7">
        <f ca="1">SUM(OFFSET($A$1, 73 - 1, 4 - 1, 1, 2))</f>
        <v>59</v>
      </c>
      <c r="E78" s="7">
        <f ca="1">SUM(OFFSET($A$1, 73 - 1, 4 - 1, 1, 2)) - OFFSET($A$1, 73 - 1, 4 - 1)</f>
        <v>59</v>
      </c>
      <c r="F78" s="7">
        <f ca="1">IF(OFFSET($A$1, 78 - 1, 4 - 1)=0,"Undefined",((OFFSET($A$1, 78 - 1, 5 - 1))*100) / (OFFSET($A$1, 78 - 1, 4 - 1)))</f>
        <v>100</v>
      </c>
      <c r="AY78" s="7">
        <v>0.20524334548751555</v>
      </c>
      <c r="AZ78" s="7" t="str">
        <f>"0"</f>
        <v>0</v>
      </c>
      <c r="BA78" t="str">
        <f ca="1">IF((OFFSET($A$1, 78 - 1, 51 - 1)) &gt;= (OFFSET($A$1, 68 - 1, 7 - 1)), "1","0")</f>
        <v>0</v>
      </c>
      <c r="BB78">
        <f ca="1" xml:space="preserve"> IF( AND( OFFSET($A$1, 78 - 1, 52 - 1) = "1", OFFSET($A$1, 78 - 1, 53 - 1) = "1" ), 1, IF( AND( OFFSET($A$1, 78 - 1, 52 - 1) = "1", OFFSET($A$1, 78 - 1, 53 - 1) = "0" ), 2, IF( AND( OFFSET($A$1, 78 - 1, 52 - 1) = "0", OFFSET($A$1, 78 - 1, 53 - 1) = "1" ), 3, 4 ) ) )</f>
        <v>4</v>
      </c>
      <c r="BD78" s="7">
        <v>0.20524334548751555</v>
      </c>
      <c r="BE78" s="7" t="str">
        <f>"0"</f>
        <v>0</v>
      </c>
      <c r="BF78" t="str">
        <f ca="1">IF((OFFSET($A$1, 78 - 1, 56 - 1)) &gt;= (OFFSET($A$1, 92 - 1, 7 - 1)), "1","0")</f>
        <v>0</v>
      </c>
      <c r="BG78">
        <f ca="1" xml:space="preserve"> IF( AND( OFFSET($A$1, 78 - 1, 57 - 1) = "1", OFFSET($A$1, 78 - 1, 58 - 1) = "1" ), 1, IF( AND( OFFSET($A$1, 78 - 1, 57 - 1) = "1", OFFSET($A$1, 78 - 1, 58 - 1) = "0" ), 2, IF( AND( OFFSET($A$1, 78 - 1, 57 - 1) = "0", OFFSET($A$1, 78 - 1, 58 - 1) = "1" ), 3, 4 ) ) )</f>
        <v>4</v>
      </c>
    </row>
    <row r="79" spans="2:59" x14ac:dyDescent="0.25">
      <c r="C79" s="9">
        <v>0</v>
      </c>
      <c r="D79" s="7">
        <f ca="1">SUM(OFFSET($A$1, 74 - 1, 4 - 1, 1, 2))</f>
        <v>241</v>
      </c>
      <c r="E79" s="7">
        <f ca="1">SUM(OFFSET($A$1, 74 - 1, 4 - 1, 1, 2)) - OFFSET($A$1, 74 - 1, 5 - 1)</f>
        <v>0</v>
      </c>
      <c r="F79" s="7">
        <f ca="1">IF(OFFSET($A$1, 79 - 1, 4 - 1)=0,"Undefined",((OFFSET($A$1, 79 - 1, 5 - 1))*100) / (OFFSET($A$1, 79 - 1, 4 - 1)))</f>
        <v>0</v>
      </c>
      <c r="AY79" s="7">
        <v>0.20524334548751555</v>
      </c>
      <c r="AZ79" s="7" t="str">
        <f>"0"</f>
        <v>0</v>
      </c>
      <c r="BA79" t="str">
        <f ca="1">IF((OFFSET($A$1, 79 - 1, 51 - 1)) &gt;= (OFFSET($A$1, 68 - 1, 7 - 1)), "1","0")</f>
        <v>0</v>
      </c>
      <c r="BB79">
        <f ca="1" xml:space="preserve"> IF( AND( OFFSET($A$1, 79 - 1, 52 - 1) = "1", OFFSET($A$1, 79 - 1, 53 - 1) = "1" ), 1, IF( AND( OFFSET($A$1, 79 - 1, 52 - 1) = "1", OFFSET($A$1, 79 - 1, 53 - 1) = "0" ), 2, IF( AND( OFFSET($A$1, 79 - 1, 52 - 1) = "0", OFFSET($A$1, 79 - 1, 53 - 1) = "1" ), 3, 4 ) ) )</f>
        <v>4</v>
      </c>
      <c r="BD79" s="7">
        <v>0.16903397659089944</v>
      </c>
      <c r="BE79" s="7" t="str">
        <f>"0"</f>
        <v>0</v>
      </c>
      <c r="BF79" t="str">
        <f ca="1">IF((OFFSET($A$1, 79 - 1, 56 - 1)) &gt;= (OFFSET($A$1, 92 - 1, 7 - 1)), "1","0")</f>
        <v>0</v>
      </c>
      <c r="BG79">
        <f ca="1" xml:space="preserve"> IF( AND( OFFSET($A$1, 79 - 1, 57 - 1) = "1", OFFSET($A$1, 79 - 1, 58 - 1) = "1" ), 1, IF( AND( OFFSET($A$1, 79 - 1, 57 - 1) = "1", OFFSET($A$1, 79 - 1, 58 - 1) = "0" ), 2, IF( AND( OFFSET($A$1, 79 - 1, 57 - 1) = "0", OFFSET($A$1, 79 - 1, 58 - 1) = "1" ), 3, 4 ) ) )</f>
        <v>4</v>
      </c>
    </row>
    <row r="80" spans="2:59" x14ac:dyDescent="0.25">
      <c r="C80" s="9" t="s">
        <v>148</v>
      </c>
      <c r="D80" s="7">
        <f ca="1">SUM(OFFSET($A$1, 78 - 1, 4 - 1, 2, 1))</f>
        <v>300</v>
      </c>
      <c r="E80" s="7">
        <f ca="1">SUM(OFFSET($A$1, 78 - 1, 5 - 1, 2, 1))</f>
        <v>59</v>
      </c>
      <c r="F80" s="7">
        <f ca="1">IF(OFFSET($A$1, 80 - 1, 4 - 1)=0,"Undefined",((OFFSET($A$1, 80 - 1, 5 - 1))*100) / (OFFSET($A$1, 80 - 1, 4 - 1)))</f>
        <v>19.666666666666668</v>
      </c>
      <c r="AY80" s="7">
        <v>0.20524334548751555</v>
      </c>
      <c r="AZ80" s="7" t="str">
        <f>"0"</f>
        <v>0</v>
      </c>
      <c r="BA80" t="str">
        <f ca="1">IF((OFFSET($A$1, 80 - 1, 51 - 1)) &gt;= (OFFSET($A$1, 68 - 1, 7 - 1)), "1","0")</f>
        <v>0</v>
      </c>
      <c r="BB80">
        <f ca="1" xml:space="preserve"> IF( AND( OFFSET($A$1, 80 - 1, 52 - 1) = "1", OFFSET($A$1, 80 - 1, 53 - 1) = "1" ), 1, IF( AND( OFFSET($A$1, 80 - 1, 52 - 1) = "1", OFFSET($A$1, 80 - 1, 53 - 1) = "0" ), 2, IF( AND( OFFSET($A$1, 80 - 1, 52 - 1) = "0", OFFSET($A$1, 80 - 1, 53 - 1) = "1" ), 3, 4 ) ) )</f>
        <v>4</v>
      </c>
      <c r="BD80" s="7">
        <v>0.20524334548751555</v>
      </c>
      <c r="BE80" s="7" t="str">
        <f>"0"</f>
        <v>0</v>
      </c>
      <c r="BF80" t="str">
        <f ca="1">IF((OFFSET($A$1, 80 - 1, 56 - 1)) &gt;= (OFFSET($A$1, 92 - 1, 7 - 1)), "1","0")</f>
        <v>0</v>
      </c>
      <c r="BG80">
        <f ca="1" xml:space="preserve"> IF( AND( OFFSET($A$1, 80 - 1, 57 - 1) = "1", OFFSET($A$1, 80 - 1, 58 - 1) = "1" ), 1, IF( AND( OFFSET($A$1, 80 - 1, 57 - 1) = "1", OFFSET($A$1, 80 - 1, 58 - 1) = "0" ), 2, IF( AND( OFFSET($A$1, 80 - 1, 57 - 1) = "0", OFFSET($A$1, 80 - 1, 58 - 1) = "1" ), 3, 4 ) ) )</f>
        <v>4</v>
      </c>
    </row>
    <row r="81" spans="2:59" x14ac:dyDescent="0.25">
      <c r="AY81" s="7">
        <v>0.20524334548751555</v>
      </c>
      <c r="AZ81" s="7" t="str">
        <f>"0"</f>
        <v>0</v>
      </c>
      <c r="BA81" t="str">
        <f ca="1">IF((OFFSET($A$1, 81 - 1, 51 - 1)) &gt;= (OFFSET($A$1, 68 - 1, 7 - 1)), "1","0")</f>
        <v>0</v>
      </c>
      <c r="BB81">
        <f ca="1" xml:space="preserve"> IF( AND( OFFSET($A$1, 81 - 1, 52 - 1) = "1", OFFSET($A$1, 81 - 1, 53 - 1) = "1" ), 1, IF( AND( OFFSET($A$1, 81 - 1, 52 - 1) = "1", OFFSET($A$1, 81 - 1, 53 - 1) = "0" ), 2, IF( AND( OFFSET($A$1, 81 - 1, 52 - 1) = "0", OFFSET($A$1, 81 - 1, 53 - 1) = "1" ), 3, 4 ) ) )</f>
        <v>4</v>
      </c>
      <c r="BD81" s="7">
        <v>0.20524334548751555</v>
      </c>
      <c r="BE81" s="7" t="str">
        <f>"0"</f>
        <v>0</v>
      </c>
      <c r="BF81" t="str">
        <f ca="1">IF((OFFSET($A$1, 81 - 1, 56 - 1)) &gt;= (OFFSET($A$1, 92 - 1, 7 - 1)), "1","0")</f>
        <v>0</v>
      </c>
      <c r="BG81">
        <f ca="1" xml:space="preserve"> IF( AND( OFFSET($A$1, 81 - 1, 57 - 1) = "1", OFFSET($A$1, 81 - 1, 58 - 1) = "1" ), 1, IF( AND( OFFSET($A$1, 81 - 1, 57 - 1) = "1", OFFSET($A$1, 81 - 1, 58 - 1) = "0" ), 2, IF( AND( OFFSET($A$1, 81 - 1, 57 - 1) = "0", OFFSET($A$1, 81 - 1, 58 - 1) = "1" ), 3, 4 ) ) )</f>
        <v>4</v>
      </c>
    </row>
    <row r="82" spans="2:59" x14ac:dyDescent="0.25">
      <c r="C82" s="11" t="s">
        <v>149</v>
      </c>
      <c r="D82" s="12"/>
      <c r="E82" s="13"/>
      <c r="AY82" s="7">
        <v>0.20524334548751555</v>
      </c>
      <c r="AZ82" s="7" t="str">
        <f>"0"</f>
        <v>0</v>
      </c>
      <c r="BA82" t="str">
        <f ca="1">IF((OFFSET($A$1, 82 - 1, 51 - 1)) &gt;= (OFFSET($A$1, 68 - 1, 7 - 1)), "1","0")</f>
        <v>0</v>
      </c>
      <c r="BB82">
        <f ca="1" xml:space="preserve"> IF( AND( OFFSET($A$1, 82 - 1, 52 - 1) = "1", OFFSET($A$1, 82 - 1, 53 - 1) = "1" ), 1, IF( AND( OFFSET($A$1, 82 - 1, 52 - 1) = "1", OFFSET($A$1, 82 - 1, 53 - 1) = "0" ), 2, IF( AND( OFFSET($A$1, 82 - 1, 52 - 1) = "0", OFFSET($A$1, 82 - 1, 53 - 1) = "1" ), 3, 4 ) ) )</f>
        <v>4</v>
      </c>
      <c r="BD82" s="7">
        <v>0.20524334548751555</v>
      </c>
      <c r="BE82" s="7" t="str">
        <f>"0"</f>
        <v>0</v>
      </c>
      <c r="BF82" t="str">
        <f ca="1">IF((OFFSET($A$1, 82 - 1, 56 - 1)) &gt;= (OFFSET($A$1, 92 - 1, 7 - 1)), "1","0")</f>
        <v>0</v>
      </c>
      <c r="BG82">
        <f ca="1" xml:space="preserve"> IF( AND( OFFSET($A$1, 82 - 1, 57 - 1) = "1", OFFSET($A$1, 82 - 1, 58 - 1) = "1" ), 1, IF( AND( OFFSET($A$1, 82 - 1, 57 - 1) = "1", OFFSET($A$1, 82 - 1, 58 - 1) = "0" ), 2, IF( AND( OFFSET($A$1, 82 - 1, 57 - 1) = "0", OFFSET($A$1, 82 - 1, 58 - 1) = "1" ), 3, 4 ) ) )</f>
        <v>4</v>
      </c>
    </row>
    <row r="83" spans="2:59" x14ac:dyDescent="0.25">
      <c r="C83" s="14" t="s">
        <v>150</v>
      </c>
      <c r="D83" s="16"/>
      <c r="E83" s="27">
        <v>1</v>
      </c>
      <c r="AY83" s="7">
        <v>0.20524334548751555</v>
      </c>
      <c r="AZ83" s="7" t="str">
        <f>"1"</f>
        <v>1</v>
      </c>
      <c r="BA83" t="str">
        <f ca="1">IF((OFFSET($A$1, 83 - 1, 51 - 1)) &gt;= (OFFSET($A$1, 68 - 1, 7 - 1)), "1","0")</f>
        <v>0</v>
      </c>
      <c r="BB83">
        <f ca="1" xml:space="preserve"> IF( AND( OFFSET($A$1, 83 - 1, 52 - 1) = "1", OFFSET($A$1, 83 - 1, 53 - 1) = "1" ), 1, IF( AND( OFFSET($A$1, 83 - 1, 52 - 1) = "1", OFFSET($A$1, 83 - 1, 53 - 1) = "0" ), 2, IF( AND( OFFSET($A$1, 83 - 1, 52 - 1) = "0", OFFSET($A$1, 83 - 1, 53 - 1) = "1" ), 3, 4 ) ) )</f>
        <v>2</v>
      </c>
      <c r="BD83" s="7">
        <v>0.20524334548751555</v>
      </c>
      <c r="BE83" s="7" t="str">
        <f>"0"</f>
        <v>0</v>
      </c>
      <c r="BF83" t="str">
        <f ca="1">IF((OFFSET($A$1, 83 - 1, 56 - 1)) &gt;= (OFFSET($A$1, 92 - 1, 7 - 1)), "1","0")</f>
        <v>0</v>
      </c>
      <c r="BG83">
        <f ca="1" xml:space="preserve"> IF( AND( OFFSET($A$1, 83 - 1, 57 - 1) = "1", OFFSET($A$1, 83 - 1, 58 - 1) = "1" ), 1, IF( AND( OFFSET($A$1, 83 - 1, 57 - 1) = "1", OFFSET($A$1, 83 - 1, 58 - 1) = "0" ), 2, IF( AND( OFFSET($A$1, 83 - 1, 57 - 1) = "0", OFFSET($A$1, 83 - 1, 58 - 1) = "1" ), 3, 4 ) ) )</f>
        <v>4</v>
      </c>
    </row>
    <row r="84" spans="2:59" x14ac:dyDescent="0.25">
      <c r="C84" s="14" t="s">
        <v>151</v>
      </c>
      <c r="D84" s="16"/>
      <c r="E84" s="27" t="str">
        <f ca="1">IF((OFFSET($A$1, 73 - 1, 4 - 1) + OFFSET($A$1, 74 - 1, 4 - 1)) = 0,"Undefined",OFFSET($A$1, 73 - 1, 4 - 1)/(OFFSET($A$1, 73 - 1, 4 - 1) + OFFSET($A$1, 74 - 1, 4 - 1)))</f>
        <v>Undefined</v>
      </c>
      <c r="AY84" s="7">
        <v>0.20524334548751555</v>
      </c>
      <c r="AZ84" s="7" t="str">
        <f>"0"</f>
        <v>0</v>
      </c>
      <c r="BA84" t="str">
        <f ca="1">IF((OFFSET($A$1, 84 - 1, 51 - 1)) &gt;= (OFFSET($A$1, 68 - 1, 7 - 1)), "1","0")</f>
        <v>0</v>
      </c>
      <c r="BB84">
        <f ca="1" xml:space="preserve"> IF( AND( OFFSET($A$1, 84 - 1, 52 - 1) = "1", OFFSET($A$1, 84 - 1, 53 - 1) = "1" ), 1, IF( AND( OFFSET($A$1, 84 - 1, 52 - 1) = "1", OFFSET($A$1, 84 - 1, 53 - 1) = "0" ), 2, IF( AND( OFFSET($A$1, 84 - 1, 52 - 1) = "0", OFFSET($A$1, 84 - 1, 53 - 1) = "1" ), 3, 4 ) ) )</f>
        <v>4</v>
      </c>
      <c r="BD84" s="7">
        <v>0.20524334548751555</v>
      </c>
      <c r="BE84" s="7" t="str">
        <f>"0"</f>
        <v>0</v>
      </c>
      <c r="BF84" t="str">
        <f ca="1">IF((OFFSET($A$1, 84 - 1, 56 - 1)) &gt;= (OFFSET($A$1, 92 - 1, 7 - 1)), "1","0")</f>
        <v>0</v>
      </c>
      <c r="BG84">
        <f ca="1" xml:space="preserve"> IF( AND( OFFSET($A$1, 84 - 1, 57 - 1) = "1", OFFSET($A$1, 84 - 1, 58 - 1) = "1" ), 1, IF( AND( OFFSET($A$1, 84 - 1, 57 - 1) = "1", OFFSET($A$1, 84 - 1, 58 - 1) = "0" ), 2, IF( AND( OFFSET($A$1, 84 - 1, 57 - 1) = "0", OFFSET($A$1, 84 - 1, 58 - 1) = "1" ), 3, 4 ) ) )</f>
        <v>4</v>
      </c>
    </row>
    <row r="85" spans="2:59" x14ac:dyDescent="0.25">
      <c r="C85" s="14" t="s">
        <v>152</v>
      </c>
      <c r="D85" s="16"/>
      <c r="E85" s="27">
        <f ca="1">IF((OFFSET($A$1, 73 - 1, 4 - 1) + OFFSET($A$1, 73 - 1, 5 - 1)) = 0,"Undefined",OFFSET($A$1, 73 - 1, 4 - 1)/(OFFSET($A$1, 73 - 1, 4 - 1) + OFFSET($A$1, 73 - 1, 5 - 1)))</f>
        <v>0</v>
      </c>
      <c r="AY85" s="7">
        <v>0.20524334548751555</v>
      </c>
      <c r="AZ85" s="7" t="str">
        <f>"0"</f>
        <v>0</v>
      </c>
      <c r="BA85" t="str">
        <f ca="1">IF((OFFSET($A$1, 85 - 1, 51 - 1)) &gt;= (OFFSET($A$1, 68 - 1, 7 - 1)), "1","0")</f>
        <v>0</v>
      </c>
      <c r="BB85">
        <f ca="1" xml:space="preserve"> IF( AND( OFFSET($A$1, 85 - 1, 52 - 1) = "1", OFFSET($A$1, 85 - 1, 53 - 1) = "1" ), 1, IF( AND( OFFSET($A$1, 85 - 1, 52 - 1) = "1", OFFSET($A$1, 85 - 1, 53 - 1) = "0" ), 2, IF( AND( OFFSET($A$1, 85 - 1, 52 - 1) = "0", OFFSET($A$1, 85 - 1, 53 - 1) = "1" ), 3, 4 ) ) )</f>
        <v>4</v>
      </c>
      <c r="BD85" s="7">
        <v>0.20524334548751555</v>
      </c>
      <c r="BE85" s="7" t="str">
        <f>"0"</f>
        <v>0</v>
      </c>
      <c r="BF85" t="str">
        <f ca="1">IF((OFFSET($A$1, 85 - 1, 56 - 1)) &gt;= (OFFSET($A$1, 92 - 1, 7 - 1)), "1","0")</f>
        <v>0</v>
      </c>
      <c r="BG85">
        <f ca="1" xml:space="preserve"> IF( AND( OFFSET($A$1, 85 - 1, 57 - 1) = "1", OFFSET($A$1, 85 - 1, 58 - 1) = "1" ), 1, IF( AND( OFFSET($A$1, 85 - 1, 57 - 1) = "1", OFFSET($A$1, 85 - 1, 58 - 1) = "0" ), 2, IF( AND( OFFSET($A$1, 85 - 1, 57 - 1) = "0", OFFSET($A$1, 85 - 1, 58 - 1) = "1" ), 3, 4 ) ) )</f>
        <v>4</v>
      </c>
    </row>
    <row r="86" spans="2:59" x14ac:dyDescent="0.25">
      <c r="C86" s="14" t="s">
        <v>153</v>
      </c>
      <c r="D86" s="16"/>
      <c r="E86" s="27">
        <f ca="1">IF((OFFSET($A$1, 74 - 1, 4 - 1) + OFFSET($A$1, 74 - 1, 5 - 1)) = 0,"Undefined",OFFSET($A$1, 74 - 1, 5 - 1)/(OFFSET($A$1, 74 - 1, 4 - 1) + OFFSET($A$1, 74 - 1, 5 - 1)))</f>
        <v>1</v>
      </c>
      <c r="AY86" s="7">
        <v>0.20524334548751555</v>
      </c>
      <c r="AZ86" s="7" t="str">
        <f>"0"</f>
        <v>0</v>
      </c>
      <c r="BA86" t="str">
        <f ca="1">IF((OFFSET($A$1, 86 - 1, 51 - 1)) &gt;= (OFFSET($A$1, 68 - 1, 7 - 1)), "1","0")</f>
        <v>0</v>
      </c>
      <c r="BB86">
        <f ca="1" xml:space="preserve"> IF( AND( OFFSET($A$1, 86 - 1, 52 - 1) = "1", OFFSET($A$1, 86 - 1, 53 - 1) = "1" ), 1, IF( AND( OFFSET($A$1, 86 - 1, 52 - 1) = "1", OFFSET($A$1, 86 - 1, 53 - 1) = "0" ), 2, IF( AND( OFFSET($A$1, 86 - 1, 52 - 1) = "0", OFFSET($A$1, 86 - 1, 53 - 1) = "1" ), 3, 4 ) ) )</f>
        <v>4</v>
      </c>
      <c r="BD86" s="7">
        <v>0.20524334548751555</v>
      </c>
      <c r="BE86" s="7" t="str">
        <f>"1"</f>
        <v>1</v>
      </c>
      <c r="BF86" t="str">
        <f ca="1">IF((OFFSET($A$1, 86 - 1, 56 - 1)) &gt;= (OFFSET($A$1, 92 - 1, 7 - 1)), "1","0")</f>
        <v>0</v>
      </c>
      <c r="BG86">
        <f ca="1" xml:space="preserve"> IF( AND( OFFSET($A$1, 86 - 1, 57 - 1) = "1", OFFSET($A$1, 86 - 1, 58 - 1) = "1" ), 1, IF( AND( OFFSET($A$1, 86 - 1, 57 - 1) = "1", OFFSET($A$1, 86 - 1, 58 - 1) = "0" ), 2, IF( AND( OFFSET($A$1, 86 - 1, 57 - 1) = "0", OFFSET($A$1, 86 - 1, 58 - 1) = "1" ), 3, 4 ) ) )</f>
        <v>2</v>
      </c>
    </row>
    <row r="87" spans="2:59" x14ac:dyDescent="0.25">
      <c r="C87" s="14" t="s">
        <v>154</v>
      </c>
      <c r="D87" s="16"/>
      <c r="E87" s="27" t="str">
        <f ca="1">IF(OR(OFFSET($A$1, 84 - 1, 5 - 1)="Undefined",OFFSET($A$1, 85 - 1, 5 - 1)="Undefined"),"Undefined",IF((OFFSET($A$1, 84 - 1, 5 - 1) + OFFSET($A$1, 85 - 1, 5 - 1))=0,"Undefined",2*OFFSET($A$1, 84 - 1, 5 - 1)*OFFSET($A$1, 85 - 1, 5 - 1)/(OFFSET($A$1, 84 - 1, 5 - 1)+OFFSET($A$1, 85 - 1, 5 - 1))))</f>
        <v>Undefined</v>
      </c>
      <c r="AY87" s="7">
        <v>0.20524334548751555</v>
      </c>
      <c r="AZ87" s="7" t="str">
        <f>"0"</f>
        <v>0</v>
      </c>
      <c r="BA87" t="str">
        <f ca="1">IF((OFFSET($A$1, 87 - 1, 51 - 1)) &gt;= (OFFSET($A$1, 68 - 1, 7 - 1)), "1","0")</f>
        <v>0</v>
      </c>
      <c r="BB87">
        <f ca="1" xml:space="preserve"> IF( AND( OFFSET($A$1, 87 - 1, 52 - 1) = "1", OFFSET($A$1, 87 - 1, 53 - 1) = "1" ), 1, IF( AND( OFFSET($A$1, 87 - 1, 52 - 1) = "1", OFFSET($A$1, 87 - 1, 53 - 1) = "0" ), 2, IF( AND( OFFSET($A$1, 87 - 1, 52 - 1) = "0", OFFSET($A$1, 87 - 1, 53 - 1) = "1" ), 3, 4 ) ) )</f>
        <v>4</v>
      </c>
      <c r="BD87" s="7">
        <v>0.16903397659089944</v>
      </c>
      <c r="BE87" s="7" t="str">
        <f>"0"</f>
        <v>0</v>
      </c>
      <c r="BF87" t="str">
        <f ca="1">IF((OFFSET($A$1, 87 - 1, 56 - 1)) &gt;= (OFFSET($A$1, 92 - 1, 7 - 1)), "1","0")</f>
        <v>0</v>
      </c>
      <c r="BG87">
        <f ca="1" xml:space="preserve"> IF( AND( OFFSET($A$1, 87 - 1, 57 - 1) = "1", OFFSET($A$1, 87 - 1, 58 - 1) = "1" ), 1, IF( AND( OFFSET($A$1, 87 - 1, 57 - 1) = "1", OFFSET($A$1, 87 - 1, 58 - 1) = "0" ), 2, IF( AND( OFFSET($A$1, 87 - 1, 57 - 1) = "0", OFFSET($A$1, 87 - 1, 58 - 1) = "1" ), 3, 4 ) ) )</f>
        <v>4</v>
      </c>
    </row>
    <row r="88" spans="2:59" x14ac:dyDescent="0.25">
      <c r="AY88" s="7">
        <v>0.20524334548751555</v>
      </c>
      <c r="AZ88" s="7" t="str">
        <f>"0"</f>
        <v>0</v>
      </c>
      <c r="BA88" t="str">
        <f ca="1">IF((OFFSET($A$1, 88 - 1, 51 - 1)) &gt;= (OFFSET($A$1, 68 - 1, 7 - 1)), "1","0")</f>
        <v>0</v>
      </c>
      <c r="BB88">
        <f ca="1" xml:space="preserve"> IF( AND( OFFSET($A$1, 88 - 1, 52 - 1) = "1", OFFSET($A$1, 88 - 1, 53 - 1) = "1" ), 1, IF( AND( OFFSET($A$1, 88 - 1, 52 - 1) = "1", OFFSET($A$1, 88 - 1, 53 - 1) = "0" ), 2, IF( AND( OFFSET($A$1, 88 - 1, 52 - 1) = "0", OFFSET($A$1, 88 - 1, 53 - 1) = "1" ), 3, 4 ) ) )</f>
        <v>4</v>
      </c>
      <c r="BD88" s="7">
        <v>0.20524334548751555</v>
      </c>
      <c r="BE88" s="7" t="str">
        <f>"0"</f>
        <v>0</v>
      </c>
      <c r="BF88" t="str">
        <f ca="1">IF((OFFSET($A$1, 88 - 1, 56 - 1)) &gt;= (OFFSET($A$1, 92 - 1, 7 - 1)), "1","0")</f>
        <v>0</v>
      </c>
      <c r="BG88">
        <f ca="1" xml:space="preserve"> IF( AND( OFFSET($A$1, 88 - 1, 57 - 1) = "1", OFFSET($A$1, 88 - 1, 58 - 1) = "1" ), 1, IF( AND( OFFSET($A$1, 88 - 1, 57 - 1) = "1", OFFSET($A$1, 88 - 1, 58 - 1) = "0" ), 2, IF( AND( OFFSET($A$1, 88 - 1, 57 - 1) = "0", OFFSET($A$1, 88 - 1, 58 - 1) = "1" ), 3, 4 ) ) )</f>
        <v>4</v>
      </c>
    </row>
    <row r="89" spans="2:59" x14ac:dyDescent="0.25">
      <c r="AY89" s="7">
        <v>0.20524334548751555</v>
      </c>
      <c r="AZ89" s="7" t="str">
        <f>"1"</f>
        <v>1</v>
      </c>
      <c r="BA89" t="str">
        <f ca="1">IF((OFFSET($A$1, 89 - 1, 51 - 1)) &gt;= (OFFSET($A$1, 68 - 1, 7 - 1)), "1","0")</f>
        <v>0</v>
      </c>
      <c r="BB89">
        <f ca="1" xml:space="preserve"> IF( AND( OFFSET($A$1, 89 - 1, 52 - 1) = "1", OFFSET($A$1, 89 - 1, 53 - 1) = "1" ), 1, IF( AND( OFFSET($A$1, 89 - 1, 52 - 1) = "1", OFFSET($A$1, 89 - 1, 53 - 1) = "0" ), 2, IF( AND( OFFSET($A$1, 89 - 1, 52 - 1) = "0", OFFSET($A$1, 89 - 1, 53 - 1) = "1" ), 3, 4 ) ) )</f>
        <v>2</v>
      </c>
      <c r="BD89" s="7">
        <v>0.20524334548751555</v>
      </c>
      <c r="BE89" s="7" t="str">
        <f>"1"</f>
        <v>1</v>
      </c>
      <c r="BF89" t="str">
        <f ca="1">IF((OFFSET($A$1, 89 - 1, 56 - 1)) &gt;= (OFFSET($A$1, 92 - 1, 7 - 1)), "1","0")</f>
        <v>0</v>
      </c>
      <c r="BG89">
        <f ca="1" xml:space="preserve"> IF( AND( OFFSET($A$1, 89 - 1, 57 - 1) = "1", OFFSET($A$1, 89 - 1, 58 - 1) = "1" ), 1, IF( AND( OFFSET($A$1, 89 - 1, 57 - 1) = "1", OFFSET($A$1, 89 - 1, 58 - 1) = "0" ), 2, IF( AND( OFFSET($A$1, 89 - 1, 57 - 1) = "0", OFFSET($A$1, 89 - 1, 58 - 1) = "1" ), 3, 4 ) ) )</f>
        <v>2</v>
      </c>
    </row>
    <row r="90" spans="2:59" ht="18.75" x14ac:dyDescent="0.3">
      <c r="B90" s="26" t="s">
        <v>155</v>
      </c>
      <c r="AY90" s="7">
        <v>0.16903397659089944</v>
      </c>
      <c r="AZ90" s="7" t="str">
        <f>"0"</f>
        <v>0</v>
      </c>
      <c r="BA90" t="str">
        <f ca="1">IF((OFFSET($A$1, 90 - 1, 51 - 1)) &gt;= (OFFSET($A$1, 68 - 1, 7 - 1)), "1","0")</f>
        <v>0</v>
      </c>
      <c r="BB90">
        <f ca="1" xml:space="preserve"> IF( AND( OFFSET($A$1, 90 - 1, 52 - 1) = "1", OFFSET($A$1, 90 - 1, 53 - 1) = "1" ), 1, IF( AND( OFFSET($A$1, 90 - 1, 52 - 1) = "1", OFFSET($A$1, 90 - 1, 53 - 1) = "0" ), 2, IF( AND( OFFSET($A$1, 90 - 1, 52 - 1) = "0", OFFSET($A$1, 90 - 1, 53 - 1) = "1" ), 3, 4 ) ) )</f>
        <v>4</v>
      </c>
      <c r="BD90" s="7">
        <v>0.16903397659089944</v>
      </c>
      <c r="BE90" s="7" t="str">
        <f>"0"</f>
        <v>0</v>
      </c>
      <c r="BF90" t="str">
        <f ca="1">IF((OFFSET($A$1, 90 - 1, 56 - 1)) &gt;= (OFFSET($A$1, 92 - 1, 7 - 1)), "1","0")</f>
        <v>0</v>
      </c>
      <c r="BG90">
        <f ca="1" xml:space="preserve"> IF( AND( OFFSET($A$1, 90 - 1, 57 - 1) = "1", OFFSET($A$1, 90 - 1, 58 - 1) = "1" ), 1, IF( AND( OFFSET($A$1, 90 - 1, 57 - 1) = "1", OFFSET($A$1, 90 - 1, 58 - 1) = "0" ), 2, IF( AND( OFFSET($A$1, 90 - 1, 57 - 1) = "0", OFFSET($A$1, 90 - 1, 58 - 1) = "1" ), 3, 4 ) ) )</f>
        <v>4</v>
      </c>
    </row>
    <row r="91" spans="2:59" x14ac:dyDescent="0.25">
      <c r="AY91" s="7">
        <v>0.20524334548751555</v>
      </c>
      <c r="AZ91" s="7" t="str">
        <f>"0"</f>
        <v>0</v>
      </c>
      <c r="BA91" t="str">
        <f ca="1">IF((OFFSET($A$1, 91 - 1, 51 - 1)) &gt;= (OFFSET($A$1, 68 - 1, 7 - 1)), "1","0")</f>
        <v>0</v>
      </c>
      <c r="BB91">
        <f ca="1" xml:space="preserve"> IF( AND( OFFSET($A$1, 91 - 1, 52 - 1) = "1", OFFSET($A$1, 91 - 1, 53 - 1) = "1" ), 1, IF( AND( OFFSET($A$1, 91 - 1, 52 - 1) = "1", OFFSET($A$1, 91 - 1, 53 - 1) = "0" ), 2, IF( AND( OFFSET($A$1, 91 - 1, 52 - 1) = "0", OFFSET($A$1, 91 - 1, 53 - 1) = "1" ), 3, 4 ) ) )</f>
        <v>4</v>
      </c>
      <c r="BD91" s="7">
        <v>0.16903397659089944</v>
      </c>
      <c r="BE91" s="7" t="str">
        <f>"0"</f>
        <v>0</v>
      </c>
      <c r="BF91" t="str">
        <f ca="1">IF((OFFSET($A$1, 91 - 1, 56 - 1)) &gt;= (OFFSET($A$1, 92 - 1, 7 - 1)), "1","0")</f>
        <v>0</v>
      </c>
      <c r="BG91">
        <f ca="1" xml:space="preserve"> IF( AND( OFFSET($A$1, 91 - 1, 57 - 1) = "1", OFFSET($A$1, 91 - 1, 58 - 1) = "1" ), 1, IF( AND( OFFSET($A$1, 91 - 1, 57 - 1) = "1", OFFSET($A$1, 91 - 1, 58 - 1) = "0" ), 2, IF( AND( OFFSET($A$1, 91 - 1, 57 - 1) = "0", OFFSET($A$1, 91 - 1, 58 - 1) = "1" ), 3, 4 ) ) )</f>
        <v>4</v>
      </c>
    </row>
    <row r="92" spans="2:59" x14ac:dyDescent="0.25">
      <c r="C92" s="41" t="s">
        <v>139</v>
      </c>
      <c r="D92" s="42"/>
      <c r="E92" s="42"/>
      <c r="F92" s="43"/>
      <c r="G92" s="31">
        <v>0.5</v>
      </c>
      <c r="H92" s="41" t="s">
        <v>140</v>
      </c>
      <c r="I92" s="42"/>
      <c r="J92" s="42"/>
      <c r="K92" s="42"/>
      <c r="L92" s="42"/>
      <c r="M92" s="43"/>
      <c r="AY92" s="7">
        <v>0.20524334548751555</v>
      </c>
      <c r="AZ92" s="7" t="str">
        <f>"0"</f>
        <v>0</v>
      </c>
      <c r="BA92" t="str">
        <f ca="1">IF((OFFSET($A$1, 92 - 1, 51 - 1)) &gt;= (OFFSET($A$1, 68 - 1, 7 - 1)), "1","0")</f>
        <v>0</v>
      </c>
      <c r="BB92">
        <f ca="1" xml:space="preserve"> IF( AND( OFFSET($A$1, 92 - 1, 52 - 1) = "1", OFFSET($A$1, 92 - 1, 53 - 1) = "1" ), 1, IF( AND( OFFSET($A$1, 92 - 1, 52 - 1) = "1", OFFSET($A$1, 92 - 1, 53 - 1) = "0" ), 2, IF( AND( OFFSET($A$1, 92 - 1, 52 - 1) = "0", OFFSET($A$1, 92 - 1, 53 - 1) = "1" ), 3, 4 ) ) )</f>
        <v>4</v>
      </c>
      <c r="BD92" s="7">
        <v>0.20524334548751555</v>
      </c>
      <c r="BE92" s="7" t="str">
        <f>"0"</f>
        <v>0</v>
      </c>
      <c r="BF92" t="str">
        <f ca="1">IF((OFFSET($A$1, 92 - 1, 56 - 1)) &gt;= (OFFSET($A$1, 92 - 1, 7 - 1)), "1","0")</f>
        <v>0</v>
      </c>
      <c r="BG92">
        <f ca="1" xml:space="preserve"> IF( AND( OFFSET($A$1, 92 - 1, 57 - 1) = "1", OFFSET($A$1, 92 - 1, 58 - 1) = "1" ), 1, IF( AND( OFFSET($A$1, 92 - 1, 57 - 1) = "1", OFFSET($A$1, 92 - 1, 58 - 1) = "0" ), 2, IF( AND( OFFSET($A$1, 92 - 1, 57 - 1) = "0", OFFSET($A$1, 92 - 1, 58 - 1) = "1" ), 3, 4 ) ) )</f>
        <v>4</v>
      </c>
    </row>
    <row r="93" spans="2:59" x14ac:dyDescent="0.25">
      <c r="AY93" s="7">
        <v>0.16903397659089944</v>
      </c>
      <c r="AZ93" s="7" t="str">
        <f>"0"</f>
        <v>0</v>
      </c>
      <c r="BA93" t="str">
        <f ca="1">IF((OFFSET($A$1, 93 - 1, 51 - 1)) &gt;= (OFFSET($A$1, 68 - 1, 7 - 1)), "1","0")</f>
        <v>0</v>
      </c>
      <c r="BB93">
        <f ca="1" xml:space="preserve"> IF( AND( OFFSET($A$1, 93 - 1, 52 - 1) = "1", OFFSET($A$1, 93 - 1, 53 - 1) = "1" ), 1, IF( AND( OFFSET($A$1, 93 - 1, 52 - 1) = "1", OFFSET($A$1, 93 - 1, 53 - 1) = "0" ), 2, IF( AND( OFFSET($A$1, 93 - 1, 52 - 1) = "0", OFFSET($A$1, 93 - 1, 53 - 1) = "1" ), 3, 4 ) ) )</f>
        <v>4</v>
      </c>
      <c r="BD93" s="7">
        <v>0.20524334548751555</v>
      </c>
      <c r="BE93" s="7" t="str">
        <f>"0"</f>
        <v>0</v>
      </c>
      <c r="BF93" t="str">
        <f ca="1">IF((OFFSET($A$1, 93 - 1, 56 - 1)) &gt;= (OFFSET($A$1, 92 - 1, 7 - 1)), "1","0")</f>
        <v>0</v>
      </c>
      <c r="BG93">
        <f ca="1" xml:space="preserve"> IF( AND( OFFSET($A$1, 93 - 1, 57 - 1) = "1", OFFSET($A$1, 93 - 1, 58 - 1) = "1" ), 1, IF( AND( OFFSET($A$1, 93 - 1, 57 - 1) = "1", OFFSET($A$1, 93 - 1, 58 - 1) = "0" ), 2, IF( AND( OFFSET($A$1, 93 - 1, 57 - 1) = "0", OFFSET($A$1, 93 - 1, 58 - 1) = "1" ), 3, 4 ) ) )</f>
        <v>4</v>
      </c>
    </row>
    <row r="94" spans="2:59" x14ac:dyDescent="0.25">
      <c r="C94" s="11" t="s">
        <v>141</v>
      </c>
      <c r="D94" s="12"/>
      <c r="E94" s="13"/>
      <c r="AY94" s="7">
        <v>0.20524334548751555</v>
      </c>
      <c r="AZ94" s="7" t="str">
        <f>"1"</f>
        <v>1</v>
      </c>
      <c r="BA94" t="str">
        <f ca="1">IF((OFFSET($A$1, 94 - 1, 51 - 1)) &gt;= (OFFSET($A$1, 68 - 1, 7 - 1)), "1","0")</f>
        <v>0</v>
      </c>
      <c r="BB94">
        <f ca="1" xml:space="preserve"> IF( AND( OFFSET($A$1, 94 - 1, 52 - 1) = "1", OFFSET($A$1, 94 - 1, 53 - 1) = "1" ), 1, IF( AND( OFFSET($A$1, 94 - 1, 52 - 1) = "1", OFFSET($A$1, 94 - 1, 53 - 1) = "0" ), 2, IF( AND( OFFSET($A$1, 94 - 1, 52 - 1) = "0", OFFSET($A$1, 94 - 1, 53 - 1) = "1" ), 3, 4 ) ) )</f>
        <v>2</v>
      </c>
      <c r="BD94" s="7">
        <v>0.20524334548751555</v>
      </c>
      <c r="BE94" s="7" t="str">
        <f>"0"</f>
        <v>0</v>
      </c>
      <c r="BF94" t="str">
        <f ca="1">IF((OFFSET($A$1, 94 - 1, 56 - 1)) &gt;= (OFFSET($A$1, 92 - 1, 7 - 1)), "1","0")</f>
        <v>0</v>
      </c>
      <c r="BG94">
        <f ca="1" xml:space="preserve"> IF( AND( OFFSET($A$1, 94 - 1, 57 - 1) = "1", OFFSET($A$1, 94 - 1, 58 - 1) = "1" ), 1, IF( AND( OFFSET($A$1, 94 - 1, 57 - 1) = "1", OFFSET($A$1, 94 - 1, 58 - 1) = "0" ), 2, IF( AND( OFFSET($A$1, 94 - 1, 57 - 1) = "0", OFFSET($A$1, 94 - 1, 58 - 1) = "1" ), 3, 4 ) ) )</f>
        <v>4</v>
      </c>
    </row>
    <row r="95" spans="2:59" x14ac:dyDescent="0.25">
      <c r="C95" s="10"/>
      <c r="D95" s="44" t="s">
        <v>142</v>
      </c>
      <c r="E95" s="45"/>
      <c r="AY95" s="7">
        <v>0.20524334548751555</v>
      </c>
      <c r="AZ95" s="7" t="str">
        <f>"0"</f>
        <v>0</v>
      </c>
      <c r="BA95" t="str">
        <f ca="1">IF((OFFSET($A$1, 95 - 1, 51 - 1)) &gt;= (OFFSET($A$1, 68 - 1, 7 - 1)), "1","0")</f>
        <v>0</v>
      </c>
      <c r="BB95">
        <f ca="1" xml:space="preserve"> IF( AND( OFFSET($A$1, 95 - 1, 52 - 1) = "1", OFFSET($A$1, 95 - 1, 53 - 1) = "1" ), 1, IF( AND( OFFSET($A$1, 95 - 1, 52 - 1) = "1", OFFSET($A$1, 95 - 1, 53 - 1) = "0" ), 2, IF( AND( OFFSET($A$1, 95 - 1, 52 - 1) = "0", OFFSET($A$1, 95 - 1, 53 - 1) = "1" ), 3, 4 ) ) )</f>
        <v>4</v>
      </c>
      <c r="BD95" s="7">
        <v>0.20524334548751555</v>
      </c>
      <c r="BE95" s="7" t="str">
        <f>"1"</f>
        <v>1</v>
      </c>
      <c r="BF95" t="str">
        <f ca="1">IF((OFFSET($A$1, 95 - 1, 56 - 1)) &gt;= (OFFSET($A$1, 92 - 1, 7 - 1)), "1","0")</f>
        <v>0</v>
      </c>
      <c r="BG95">
        <f ca="1" xml:space="preserve"> IF( AND( OFFSET($A$1, 95 - 1, 57 - 1) = "1", OFFSET($A$1, 95 - 1, 58 - 1) = "1" ), 1, IF( AND( OFFSET($A$1, 95 - 1, 57 - 1) = "1", OFFSET($A$1, 95 - 1, 58 - 1) = "0" ), 2, IF( AND( OFFSET($A$1, 95 - 1, 57 - 1) = "0", OFFSET($A$1, 95 - 1, 58 - 1) = "1" ), 3, 4 ) ) )</f>
        <v>2</v>
      </c>
    </row>
    <row r="96" spans="2:59" x14ac:dyDescent="0.25">
      <c r="C96" s="9" t="s">
        <v>143</v>
      </c>
      <c r="D96" s="10">
        <v>1</v>
      </c>
      <c r="E96" s="10">
        <v>0</v>
      </c>
      <c r="AY96" s="7">
        <v>0.20524334548751555</v>
      </c>
      <c r="AZ96" s="7" t="str">
        <f>"1"</f>
        <v>1</v>
      </c>
      <c r="BA96" t="str">
        <f ca="1">IF((OFFSET($A$1, 96 - 1, 51 - 1)) &gt;= (OFFSET($A$1, 68 - 1, 7 - 1)), "1","0")</f>
        <v>0</v>
      </c>
      <c r="BB96">
        <f ca="1" xml:space="preserve"> IF( AND( OFFSET($A$1, 96 - 1, 52 - 1) = "1", OFFSET($A$1, 96 - 1, 53 - 1) = "1" ), 1, IF( AND( OFFSET($A$1, 96 - 1, 52 - 1) = "1", OFFSET($A$1, 96 - 1, 53 - 1) = "0" ), 2, IF( AND( OFFSET($A$1, 96 - 1, 52 - 1) = "0", OFFSET($A$1, 96 - 1, 53 - 1) = "1" ), 3, 4 ) ) )</f>
        <v>2</v>
      </c>
      <c r="BD96" s="7">
        <v>0.20524334548751555</v>
      </c>
      <c r="BE96" s="7" t="str">
        <f>"0"</f>
        <v>0</v>
      </c>
      <c r="BF96" t="str">
        <f ca="1">IF((OFFSET($A$1, 96 - 1, 56 - 1)) &gt;= (OFFSET($A$1, 92 - 1, 7 - 1)), "1","0")</f>
        <v>0</v>
      </c>
      <c r="BG96">
        <f ca="1" xml:space="preserve"> IF( AND( OFFSET($A$1, 96 - 1, 57 - 1) = "1", OFFSET($A$1, 96 - 1, 58 - 1) = "1" ), 1, IF( AND( OFFSET($A$1, 96 - 1, 57 - 1) = "1", OFFSET($A$1, 96 - 1, 58 - 1) = "0" ), 2, IF( AND( OFFSET($A$1, 96 - 1, 57 - 1) = "0", OFFSET($A$1, 96 - 1, 58 - 1) = "1" ), 3, 4 ) ) )</f>
        <v>4</v>
      </c>
    </row>
    <row r="97" spans="3:59" x14ac:dyDescent="0.25">
      <c r="C97" s="9">
        <v>1</v>
      </c>
      <c r="D97" s="7">
        <f ca="1" xml:space="preserve"> COUNTIF( OFFSET($A$1, 1 - 1, 59 - 1, 201, 1), 1 )</f>
        <v>0</v>
      </c>
      <c r="E97" s="7">
        <f ca="1" xml:space="preserve"> COUNTIF( OFFSET($A$1, 1 - 1, 59 - 1, 201, 1), 2 )</f>
        <v>39</v>
      </c>
      <c r="AY97" s="7">
        <v>0.20524334548751555</v>
      </c>
      <c r="AZ97" s="7" t="str">
        <f>"0"</f>
        <v>0</v>
      </c>
      <c r="BA97" t="str">
        <f ca="1">IF((OFFSET($A$1, 97 - 1, 51 - 1)) &gt;= (OFFSET($A$1, 68 - 1, 7 - 1)), "1","0")</f>
        <v>0</v>
      </c>
      <c r="BB97">
        <f ca="1" xml:space="preserve"> IF( AND( OFFSET($A$1, 97 - 1, 52 - 1) = "1", OFFSET($A$1, 97 - 1, 53 - 1) = "1" ), 1, IF( AND( OFFSET($A$1, 97 - 1, 52 - 1) = "1", OFFSET($A$1, 97 - 1, 53 - 1) = "0" ), 2, IF( AND( OFFSET($A$1, 97 - 1, 52 - 1) = "0", OFFSET($A$1, 97 - 1, 53 - 1) = "1" ), 3, 4 ) ) )</f>
        <v>4</v>
      </c>
      <c r="BD97" s="7">
        <v>0.20524334548751555</v>
      </c>
      <c r="BE97" s="7" t="str">
        <f>"0"</f>
        <v>0</v>
      </c>
      <c r="BF97" t="str">
        <f ca="1">IF((OFFSET($A$1, 97 - 1, 56 - 1)) &gt;= (OFFSET($A$1, 92 - 1, 7 - 1)), "1","0")</f>
        <v>0</v>
      </c>
      <c r="BG97">
        <f ca="1" xml:space="preserve"> IF( AND( OFFSET($A$1, 97 - 1, 57 - 1) = "1", OFFSET($A$1, 97 - 1, 58 - 1) = "1" ), 1, IF( AND( OFFSET($A$1, 97 - 1, 57 - 1) = "1", OFFSET($A$1, 97 - 1, 58 - 1) = "0" ), 2, IF( AND( OFFSET($A$1, 97 - 1, 57 - 1) = "0", OFFSET($A$1, 97 - 1, 58 - 1) = "1" ), 3, 4 ) ) )</f>
        <v>4</v>
      </c>
    </row>
    <row r="98" spans="3:59" x14ac:dyDescent="0.25">
      <c r="C98" s="9">
        <v>0</v>
      </c>
      <c r="D98" s="7">
        <f ca="1" xml:space="preserve"> COUNTIF( OFFSET($A$1, 1 - 1, 59 - 1, 201, 1), 3 )</f>
        <v>0</v>
      </c>
      <c r="E98" s="7">
        <f ca="1" xml:space="preserve"> COUNTIF( OFFSET($A$1, 1 - 1, 59 - 1, 201, 1), 4 )</f>
        <v>161</v>
      </c>
      <c r="AY98" s="7">
        <v>0.20524334548751555</v>
      </c>
      <c r="AZ98" s="7" t="str">
        <f>"0"</f>
        <v>0</v>
      </c>
      <c r="BA98" t="str">
        <f ca="1">IF((OFFSET($A$1, 98 - 1, 51 - 1)) &gt;= (OFFSET($A$1, 68 - 1, 7 - 1)), "1","0")</f>
        <v>0</v>
      </c>
      <c r="BB98">
        <f ca="1" xml:space="preserve"> IF( AND( OFFSET($A$1, 98 - 1, 52 - 1) = "1", OFFSET($A$1, 98 - 1, 53 - 1) = "1" ), 1, IF( AND( OFFSET($A$1, 98 - 1, 52 - 1) = "1", OFFSET($A$1, 98 - 1, 53 - 1) = "0" ), 2, IF( AND( OFFSET($A$1, 98 - 1, 52 - 1) = "0", OFFSET($A$1, 98 - 1, 53 - 1) = "1" ), 3, 4 ) ) )</f>
        <v>4</v>
      </c>
      <c r="BD98" s="7">
        <v>0.20524334548751555</v>
      </c>
      <c r="BE98" s="7" t="str">
        <f>"1"</f>
        <v>1</v>
      </c>
      <c r="BF98" t="str">
        <f ca="1">IF((OFFSET($A$1, 98 - 1, 56 - 1)) &gt;= (OFFSET($A$1, 92 - 1, 7 - 1)), "1","0")</f>
        <v>0</v>
      </c>
      <c r="BG98">
        <f ca="1" xml:space="preserve"> IF( AND( OFFSET($A$1, 98 - 1, 57 - 1) = "1", OFFSET($A$1, 98 - 1, 58 - 1) = "1" ), 1, IF( AND( OFFSET($A$1, 98 - 1, 57 - 1) = "1", OFFSET($A$1, 98 - 1, 58 - 1) = "0" ), 2, IF( AND( OFFSET($A$1, 98 - 1, 57 - 1) = "0", OFFSET($A$1, 98 - 1, 58 - 1) = "1" ), 3, 4 ) ) )</f>
        <v>2</v>
      </c>
    </row>
    <row r="99" spans="3:59" x14ac:dyDescent="0.25">
      <c r="AY99" s="7">
        <v>0.20524334548751555</v>
      </c>
      <c r="AZ99" s="7" t="str">
        <f>"0"</f>
        <v>0</v>
      </c>
      <c r="BA99" t="str">
        <f ca="1">IF((OFFSET($A$1, 99 - 1, 51 - 1)) &gt;= (OFFSET($A$1, 68 - 1, 7 - 1)), "1","0")</f>
        <v>0</v>
      </c>
      <c r="BB99">
        <f ca="1" xml:space="preserve"> IF( AND( OFFSET($A$1, 99 - 1, 52 - 1) = "1", OFFSET($A$1, 99 - 1, 53 - 1) = "1" ), 1, IF( AND( OFFSET($A$1, 99 - 1, 52 - 1) = "1", OFFSET($A$1, 99 - 1, 53 - 1) = "0" ), 2, IF( AND( OFFSET($A$1, 99 - 1, 52 - 1) = "0", OFFSET($A$1, 99 - 1, 53 - 1) = "1" ), 3, 4 ) ) )</f>
        <v>4</v>
      </c>
      <c r="BD99" s="7">
        <v>0.16903397659089944</v>
      </c>
      <c r="BE99" s="7" t="str">
        <f>"0"</f>
        <v>0</v>
      </c>
      <c r="BF99" t="str">
        <f ca="1">IF((OFFSET($A$1, 99 - 1, 56 - 1)) &gt;= (OFFSET($A$1, 92 - 1, 7 - 1)), "1","0")</f>
        <v>0</v>
      </c>
      <c r="BG99">
        <f ca="1" xml:space="preserve"> IF( AND( OFFSET($A$1, 99 - 1, 57 - 1) = "1", OFFSET($A$1, 99 - 1, 58 - 1) = "1" ), 1, IF( AND( OFFSET($A$1, 99 - 1, 57 - 1) = "1", OFFSET($A$1, 99 - 1, 58 - 1) = "0" ), 2, IF( AND( OFFSET($A$1, 99 - 1, 57 - 1) = "0", OFFSET($A$1, 99 - 1, 58 - 1) = "1" ), 3, 4 ) ) )</f>
        <v>4</v>
      </c>
    </row>
    <row r="100" spans="3:59" x14ac:dyDescent="0.25">
      <c r="C100" s="11" t="s">
        <v>144</v>
      </c>
      <c r="D100" s="12"/>
      <c r="E100" s="12"/>
      <c r="F100" s="13"/>
      <c r="AY100" s="7">
        <v>0.20524334548751555</v>
      </c>
      <c r="AZ100" s="7" t="str">
        <f>"0"</f>
        <v>0</v>
      </c>
      <c r="BA100" t="str">
        <f ca="1">IF((OFFSET($A$1, 100 - 1, 51 - 1)) &gt;= (OFFSET($A$1, 68 - 1, 7 - 1)), "1","0")</f>
        <v>0</v>
      </c>
      <c r="BB100">
        <f ca="1" xml:space="preserve"> IF( AND( OFFSET($A$1, 100 - 1, 52 - 1) = "1", OFFSET($A$1, 100 - 1, 53 - 1) = "1" ), 1, IF( AND( OFFSET($A$1, 100 - 1, 52 - 1) = "1", OFFSET($A$1, 100 - 1, 53 - 1) = "0" ), 2, IF( AND( OFFSET($A$1, 100 - 1, 52 - 1) = "0", OFFSET($A$1, 100 - 1, 53 - 1) = "1" ), 3, 4 ) ) )</f>
        <v>4</v>
      </c>
      <c r="BD100" s="7">
        <v>0.16903397659089944</v>
      </c>
      <c r="BE100" s="7" t="str">
        <f>"0"</f>
        <v>0</v>
      </c>
      <c r="BF100" t="str">
        <f ca="1">IF((OFFSET($A$1, 100 - 1, 56 - 1)) &gt;= (OFFSET($A$1, 92 - 1, 7 - 1)), "1","0")</f>
        <v>0</v>
      </c>
      <c r="BG100">
        <f ca="1" xml:space="preserve"> IF( AND( OFFSET($A$1, 100 - 1, 57 - 1) = "1", OFFSET($A$1, 100 - 1, 58 - 1) = "1" ), 1, IF( AND( OFFSET($A$1, 100 - 1, 57 - 1) = "1", OFFSET($A$1, 100 - 1, 58 - 1) = "0" ), 2, IF( AND( OFFSET($A$1, 100 - 1, 57 - 1) = "0", OFFSET($A$1, 100 - 1, 58 - 1) = "1" ), 3, 4 ) ) )</f>
        <v>4</v>
      </c>
    </row>
    <row r="101" spans="3:59" x14ac:dyDescent="0.25">
      <c r="C101" s="10" t="s">
        <v>107</v>
      </c>
      <c r="D101" s="10" t="s">
        <v>145</v>
      </c>
      <c r="E101" s="10" t="s">
        <v>146</v>
      </c>
      <c r="F101" s="10" t="s">
        <v>147</v>
      </c>
      <c r="AY101" s="7">
        <v>0.16903397659089944</v>
      </c>
      <c r="AZ101" s="7" t="str">
        <f>"0"</f>
        <v>0</v>
      </c>
      <c r="BA101" t="str">
        <f ca="1">IF((OFFSET($A$1, 101 - 1, 51 - 1)) &gt;= (OFFSET($A$1, 68 - 1, 7 - 1)), "1","0")</f>
        <v>0</v>
      </c>
      <c r="BB101">
        <f ca="1" xml:space="preserve"> IF( AND( OFFSET($A$1, 101 - 1, 52 - 1) = "1", OFFSET($A$1, 101 - 1, 53 - 1) = "1" ), 1, IF( AND( OFFSET($A$1, 101 - 1, 52 - 1) = "1", OFFSET($A$1, 101 - 1, 53 - 1) = "0" ), 2, IF( AND( OFFSET($A$1, 101 - 1, 52 - 1) = "0", OFFSET($A$1, 101 - 1, 53 - 1) = "1" ), 3, 4 ) ) )</f>
        <v>4</v>
      </c>
      <c r="BD101" s="7">
        <v>0.20524334548751555</v>
      </c>
      <c r="BE101" s="7" t="str">
        <f>"0"</f>
        <v>0</v>
      </c>
      <c r="BF101" t="str">
        <f ca="1">IF((OFFSET($A$1, 101 - 1, 56 - 1)) &gt;= (OFFSET($A$1, 92 - 1, 7 - 1)), "1","0")</f>
        <v>0</v>
      </c>
      <c r="BG101">
        <f ca="1" xml:space="preserve"> IF( AND( OFFSET($A$1, 101 - 1, 57 - 1) = "1", OFFSET($A$1, 101 - 1, 58 - 1) = "1" ), 1, IF( AND( OFFSET($A$1, 101 - 1, 57 - 1) = "1", OFFSET($A$1, 101 - 1, 58 - 1) = "0" ), 2, IF( AND( OFFSET($A$1, 101 - 1, 57 - 1) = "0", OFFSET($A$1, 101 - 1, 58 - 1) = "1" ), 3, 4 ) ) )</f>
        <v>4</v>
      </c>
    </row>
    <row r="102" spans="3:59" x14ac:dyDescent="0.25">
      <c r="C102" s="9">
        <v>1</v>
      </c>
      <c r="D102" s="7">
        <f ca="1">SUM(OFFSET($A$1, 97 - 1, 4 - 1, 1, 2))</f>
        <v>39</v>
      </c>
      <c r="E102" s="7">
        <f ca="1">SUM(OFFSET($A$1, 97 - 1, 4 - 1, 1, 2)) - OFFSET($A$1, 97 - 1, 4 - 1)</f>
        <v>39</v>
      </c>
      <c r="F102" s="7">
        <f ca="1">IF(OFFSET($A$1, 102 - 1, 4 - 1)=0,"Undefined",((OFFSET($A$1, 102 - 1, 5 - 1))*100) / (OFFSET($A$1, 102 - 1, 4 - 1)))</f>
        <v>100</v>
      </c>
      <c r="AY102" s="7">
        <v>0.20524334548751555</v>
      </c>
      <c r="AZ102" s="7" t="str">
        <f>"1"</f>
        <v>1</v>
      </c>
      <c r="BA102" t="str">
        <f ca="1">IF((OFFSET($A$1, 102 - 1, 51 - 1)) &gt;= (OFFSET($A$1, 68 - 1, 7 - 1)), "1","0")</f>
        <v>0</v>
      </c>
      <c r="BB102">
        <f ca="1" xml:space="preserve"> IF( AND( OFFSET($A$1, 102 - 1, 52 - 1) = "1", OFFSET($A$1, 102 - 1, 53 - 1) = "1" ), 1, IF( AND( OFFSET($A$1, 102 - 1, 52 - 1) = "1", OFFSET($A$1, 102 - 1, 53 - 1) = "0" ), 2, IF( AND( OFFSET($A$1, 102 - 1, 52 - 1) = "0", OFFSET($A$1, 102 - 1, 53 - 1) = "1" ), 3, 4 ) ) )</f>
        <v>2</v>
      </c>
      <c r="BD102" s="7">
        <v>0.20524334548751555</v>
      </c>
      <c r="BE102" s="7" t="str">
        <f>"0"</f>
        <v>0</v>
      </c>
      <c r="BF102" t="str">
        <f ca="1">IF((OFFSET($A$1, 102 - 1, 56 - 1)) &gt;= (OFFSET($A$1, 92 - 1, 7 - 1)), "1","0")</f>
        <v>0</v>
      </c>
      <c r="BG102">
        <f ca="1" xml:space="preserve"> IF( AND( OFFSET($A$1, 102 - 1, 57 - 1) = "1", OFFSET($A$1, 102 - 1, 58 - 1) = "1" ), 1, IF( AND( OFFSET($A$1, 102 - 1, 57 - 1) = "1", OFFSET($A$1, 102 - 1, 58 - 1) = "0" ), 2, IF( AND( OFFSET($A$1, 102 - 1, 57 - 1) = "0", OFFSET($A$1, 102 - 1, 58 - 1) = "1" ), 3, 4 ) ) )</f>
        <v>4</v>
      </c>
    </row>
    <row r="103" spans="3:59" x14ac:dyDescent="0.25">
      <c r="C103" s="9">
        <v>0</v>
      </c>
      <c r="D103" s="7">
        <f ca="1">SUM(OFFSET($A$1, 98 - 1, 4 - 1, 1, 2))</f>
        <v>161</v>
      </c>
      <c r="E103" s="7">
        <f ca="1">SUM(OFFSET($A$1, 98 - 1, 4 - 1, 1, 2)) - OFFSET($A$1, 98 - 1, 5 - 1)</f>
        <v>0</v>
      </c>
      <c r="F103" s="7">
        <f ca="1">IF(OFFSET($A$1, 103 - 1, 4 - 1)=0,"Undefined",((OFFSET($A$1, 103 - 1, 5 - 1))*100) / (OFFSET($A$1, 103 - 1, 4 - 1)))</f>
        <v>0</v>
      </c>
      <c r="AY103" s="7">
        <v>0.16903397659089944</v>
      </c>
      <c r="AZ103" s="7" t="str">
        <f>"0"</f>
        <v>0</v>
      </c>
      <c r="BA103" t="str">
        <f ca="1">IF((OFFSET($A$1, 103 - 1, 51 - 1)) &gt;= (OFFSET($A$1, 68 - 1, 7 - 1)), "1","0")</f>
        <v>0</v>
      </c>
      <c r="BB103">
        <f ca="1" xml:space="preserve"> IF( AND( OFFSET($A$1, 103 - 1, 52 - 1) = "1", OFFSET($A$1, 103 - 1, 53 - 1) = "1" ), 1, IF( AND( OFFSET($A$1, 103 - 1, 52 - 1) = "1", OFFSET($A$1, 103 - 1, 53 - 1) = "0" ), 2, IF( AND( OFFSET($A$1, 103 - 1, 52 - 1) = "0", OFFSET($A$1, 103 - 1, 53 - 1) = "1" ), 3, 4 ) ) )</f>
        <v>4</v>
      </c>
      <c r="BD103" s="7">
        <v>0.20524334548751555</v>
      </c>
      <c r="BE103" s="7" t="str">
        <f>"0"</f>
        <v>0</v>
      </c>
      <c r="BF103" t="str">
        <f ca="1">IF((OFFSET($A$1, 103 - 1, 56 - 1)) &gt;= (OFFSET($A$1, 92 - 1, 7 - 1)), "1","0")</f>
        <v>0</v>
      </c>
      <c r="BG103">
        <f ca="1" xml:space="preserve"> IF( AND( OFFSET($A$1, 103 - 1, 57 - 1) = "1", OFFSET($A$1, 103 - 1, 58 - 1) = "1" ), 1, IF( AND( OFFSET($A$1, 103 - 1, 57 - 1) = "1", OFFSET($A$1, 103 - 1, 58 - 1) = "0" ), 2, IF( AND( OFFSET($A$1, 103 - 1, 57 - 1) = "0", OFFSET($A$1, 103 - 1, 58 - 1) = "1" ), 3, 4 ) ) )</f>
        <v>4</v>
      </c>
    </row>
    <row r="104" spans="3:59" x14ac:dyDescent="0.25">
      <c r="C104" s="9" t="s">
        <v>148</v>
      </c>
      <c r="D104" s="7">
        <f ca="1">SUM(OFFSET($A$1, 102 - 1, 4 - 1, 2, 1))</f>
        <v>200</v>
      </c>
      <c r="E104" s="7">
        <f ca="1">SUM(OFFSET($A$1, 102 - 1, 5 - 1, 2, 1))</f>
        <v>39</v>
      </c>
      <c r="F104" s="7">
        <f ca="1">IF(OFFSET($A$1, 104 - 1, 4 - 1)=0,"Undefined",((OFFSET($A$1, 104 - 1, 5 - 1))*100) / (OFFSET($A$1, 104 - 1, 4 - 1)))</f>
        <v>19.5</v>
      </c>
      <c r="AY104" s="7">
        <v>0.20524334548751555</v>
      </c>
      <c r="AZ104" s="7" t="str">
        <f>"0"</f>
        <v>0</v>
      </c>
      <c r="BA104" t="str">
        <f ca="1">IF((OFFSET($A$1, 104 - 1, 51 - 1)) &gt;= (OFFSET($A$1, 68 - 1, 7 - 1)), "1","0")</f>
        <v>0</v>
      </c>
      <c r="BB104">
        <f ca="1" xml:space="preserve"> IF( AND( OFFSET($A$1, 104 - 1, 52 - 1) = "1", OFFSET($A$1, 104 - 1, 53 - 1) = "1" ), 1, IF( AND( OFFSET($A$1, 104 - 1, 52 - 1) = "1", OFFSET($A$1, 104 - 1, 53 - 1) = "0" ), 2, IF( AND( OFFSET($A$1, 104 - 1, 52 - 1) = "0", OFFSET($A$1, 104 - 1, 53 - 1) = "1" ), 3, 4 ) ) )</f>
        <v>4</v>
      </c>
      <c r="BD104" s="7">
        <v>0.20524334548751555</v>
      </c>
      <c r="BE104" s="7" t="str">
        <f>"0"</f>
        <v>0</v>
      </c>
      <c r="BF104" t="str">
        <f ca="1">IF((OFFSET($A$1, 104 - 1, 56 - 1)) &gt;= (OFFSET($A$1, 92 - 1, 7 - 1)), "1","0")</f>
        <v>0</v>
      </c>
      <c r="BG104">
        <f ca="1" xml:space="preserve"> IF( AND( OFFSET($A$1, 104 - 1, 57 - 1) = "1", OFFSET($A$1, 104 - 1, 58 - 1) = "1" ), 1, IF( AND( OFFSET($A$1, 104 - 1, 57 - 1) = "1", OFFSET($A$1, 104 - 1, 58 - 1) = "0" ), 2, IF( AND( OFFSET($A$1, 104 - 1, 57 - 1) = "0", OFFSET($A$1, 104 - 1, 58 - 1) = "1" ), 3, 4 ) ) )</f>
        <v>4</v>
      </c>
    </row>
    <row r="105" spans="3:59" x14ac:dyDescent="0.25">
      <c r="AY105" s="7">
        <v>0.20524334548751555</v>
      </c>
      <c r="AZ105" s="7" t="str">
        <f>"1"</f>
        <v>1</v>
      </c>
      <c r="BA105" t="str">
        <f ca="1">IF((OFFSET($A$1, 105 - 1, 51 - 1)) &gt;= (OFFSET($A$1, 68 - 1, 7 - 1)), "1","0")</f>
        <v>0</v>
      </c>
      <c r="BB105">
        <f ca="1" xml:space="preserve"> IF( AND( OFFSET($A$1, 105 - 1, 52 - 1) = "1", OFFSET($A$1, 105 - 1, 53 - 1) = "1" ), 1, IF( AND( OFFSET($A$1, 105 - 1, 52 - 1) = "1", OFFSET($A$1, 105 - 1, 53 - 1) = "0" ), 2, IF( AND( OFFSET($A$1, 105 - 1, 52 - 1) = "0", OFFSET($A$1, 105 - 1, 53 - 1) = "1" ), 3, 4 ) ) )</f>
        <v>2</v>
      </c>
      <c r="BD105" s="7">
        <v>0.20524334548751555</v>
      </c>
      <c r="BE105" s="7" t="str">
        <f>"0"</f>
        <v>0</v>
      </c>
      <c r="BF105" t="str">
        <f ca="1">IF((OFFSET($A$1, 105 - 1, 56 - 1)) &gt;= (OFFSET($A$1, 92 - 1, 7 - 1)), "1","0")</f>
        <v>0</v>
      </c>
      <c r="BG105">
        <f ca="1" xml:space="preserve"> IF( AND( OFFSET($A$1, 105 - 1, 57 - 1) = "1", OFFSET($A$1, 105 - 1, 58 - 1) = "1" ), 1, IF( AND( OFFSET($A$1, 105 - 1, 57 - 1) = "1", OFFSET($A$1, 105 - 1, 58 - 1) = "0" ), 2, IF( AND( OFFSET($A$1, 105 - 1, 57 - 1) = "0", OFFSET($A$1, 105 - 1, 58 - 1) = "1" ), 3, 4 ) ) )</f>
        <v>4</v>
      </c>
    </row>
    <row r="106" spans="3:59" x14ac:dyDescent="0.25">
      <c r="C106" s="11" t="s">
        <v>149</v>
      </c>
      <c r="D106" s="12"/>
      <c r="E106" s="13"/>
      <c r="AY106" s="7">
        <v>0.20524334548751555</v>
      </c>
      <c r="AZ106" s="7" t="str">
        <f>"1"</f>
        <v>1</v>
      </c>
      <c r="BA106" t="str">
        <f ca="1">IF((OFFSET($A$1, 106 - 1, 51 - 1)) &gt;= (OFFSET($A$1, 68 - 1, 7 - 1)), "1","0")</f>
        <v>0</v>
      </c>
      <c r="BB106">
        <f ca="1" xml:space="preserve"> IF( AND( OFFSET($A$1, 106 - 1, 52 - 1) = "1", OFFSET($A$1, 106 - 1, 53 - 1) = "1" ), 1, IF( AND( OFFSET($A$1, 106 - 1, 52 - 1) = "1", OFFSET($A$1, 106 - 1, 53 - 1) = "0" ), 2, IF( AND( OFFSET($A$1, 106 - 1, 52 - 1) = "0", OFFSET($A$1, 106 - 1, 53 - 1) = "1" ), 3, 4 ) ) )</f>
        <v>2</v>
      </c>
      <c r="BD106" s="7">
        <v>0.20524334548751555</v>
      </c>
      <c r="BE106" s="7" t="str">
        <f>"0"</f>
        <v>0</v>
      </c>
      <c r="BF106" t="str">
        <f ca="1">IF((OFFSET($A$1, 106 - 1, 56 - 1)) &gt;= (OFFSET($A$1, 92 - 1, 7 - 1)), "1","0")</f>
        <v>0</v>
      </c>
      <c r="BG106">
        <f ca="1" xml:space="preserve"> IF( AND( OFFSET($A$1, 106 - 1, 57 - 1) = "1", OFFSET($A$1, 106 - 1, 58 - 1) = "1" ), 1, IF( AND( OFFSET($A$1, 106 - 1, 57 - 1) = "1", OFFSET($A$1, 106 - 1, 58 - 1) = "0" ), 2, IF( AND( OFFSET($A$1, 106 - 1, 57 - 1) = "0", OFFSET($A$1, 106 - 1, 58 - 1) = "1" ), 3, 4 ) ) )</f>
        <v>4</v>
      </c>
    </row>
    <row r="107" spans="3:59" x14ac:dyDescent="0.25">
      <c r="C107" s="14" t="s">
        <v>150</v>
      </c>
      <c r="D107" s="16"/>
      <c r="E107" s="27">
        <v>1</v>
      </c>
      <c r="AY107" s="7">
        <v>0.20524334548751555</v>
      </c>
      <c r="AZ107" s="7" t="str">
        <f>"1"</f>
        <v>1</v>
      </c>
      <c r="BA107" t="str">
        <f ca="1">IF((OFFSET($A$1, 107 - 1, 51 - 1)) &gt;= (OFFSET($A$1, 68 - 1, 7 - 1)), "1","0")</f>
        <v>0</v>
      </c>
      <c r="BB107">
        <f ca="1" xml:space="preserve"> IF( AND( OFFSET($A$1, 107 - 1, 52 - 1) = "1", OFFSET($A$1, 107 - 1, 53 - 1) = "1" ), 1, IF( AND( OFFSET($A$1, 107 - 1, 52 - 1) = "1", OFFSET($A$1, 107 - 1, 53 - 1) = "0" ), 2, IF( AND( OFFSET($A$1, 107 - 1, 52 - 1) = "0", OFFSET($A$1, 107 - 1, 53 - 1) = "1" ), 3, 4 ) ) )</f>
        <v>2</v>
      </c>
      <c r="BD107" s="7">
        <v>0.20524334548751555</v>
      </c>
      <c r="BE107" s="7" t="str">
        <f>"0"</f>
        <v>0</v>
      </c>
      <c r="BF107" t="str">
        <f ca="1">IF((OFFSET($A$1, 107 - 1, 56 - 1)) &gt;= (OFFSET($A$1, 92 - 1, 7 - 1)), "1","0")</f>
        <v>0</v>
      </c>
      <c r="BG107">
        <f ca="1" xml:space="preserve"> IF( AND( OFFSET($A$1, 107 - 1, 57 - 1) = "1", OFFSET($A$1, 107 - 1, 58 - 1) = "1" ), 1, IF( AND( OFFSET($A$1, 107 - 1, 57 - 1) = "1", OFFSET($A$1, 107 - 1, 58 - 1) = "0" ), 2, IF( AND( OFFSET($A$1, 107 - 1, 57 - 1) = "0", OFFSET($A$1, 107 - 1, 58 - 1) = "1" ), 3, 4 ) ) )</f>
        <v>4</v>
      </c>
    </row>
    <row r="108" spans="3:59" x14ac:dyDescent="0.25">
      <c r="C108" s="14" t="s">
        <v>151</v>
      </c>
      <c r="D108" s="16"/>
      <c r="E108" s="27" t="str">
        <f ca="1">IF((OFFSET($A$1, 97 - 1, 4 - 1) + OFFSET($A$1, 98 - 1, 4 - 1)) = 0,"Undefined",OFFSET($A$1, 97 - 1, 4 - 1)/(OFFSET($A$1, 97 - 1, 4 - 1) + OFFSET($A$1, 98 - 1, 4 - 1)))</f>
        <v>Undefined</v>
      </c>
      <c r="AY108" s="7">
        <v>0.20524334548751555</v>
      </c>
      <c r="AZ108" s="7" t="str">
        <f>"0"</f>
        <v>0</v>
      </c>
      <c r="BA108" t="str">
        <f ca="1">IF((OFFSET($A$1, 108 - 1, 51 - 1)) &gt;= (OFFSET($A$1, 68 - 1, 7 - 1)), "1","0")</f>
        <v>0</v>
      </c>
      <c r="BB108">
        <f ca="1" xml:space="preserve"> IF( AND( OFFSET($A$1, 108 - 1, 52 - 1) = "1", OFFSET($A$1, 108 - 1, 53 - 1) = "1" ), 1, IF( AND( OFFSET($A$1, 108 - 1, 52 - 1) = "1", OFFSET($A$1, 108 - 1, 53 - 1) = "0" ), 2, IF( AND( OFFSET($A$1, 108 - 1, 52 - 1) = "0", OFFSET($A$1, 108 - 1, 53 - 1) = "1" ), 3, 4 ) ) )</f>
        <v>4</v>
      </c>
      <c r="BD108" s="7">
        <v>0.20524334548751555</v>
      </c>
      <c r="BE108" s="7" t="str">
        <f>"0"</f>
        <v>0</v>
      </c>
      <c r="BF108" t="str">
        <f ca="1">IF((OFFSET($A$1, 108 - 1, 56 - 1)) &gt;= (OFFSET($A$1, 92 - 1, 7 - 1)), "1","0")</f>
        <v>0</v>
      </c>
      <c r="BG108">
        <f ca="1" xml:space="preserve"> IF( AND( OFFSET($A$1, 108 - 1, 57 - 1) = "1", OFFSET($A$1, 108 - 1, 58 - 1) = "1" ), 1, IF( AND( OFFSET($A$1, 108 - 1, 57 - 1) = "1", OFFSET($A$1, 108 - 1, 58 - 1) = "0" ), 2, IF( AND( OFFSET($A$1, 108 - 1, 57 - 1) = "0", OFFSET($A$1, 108 - 1, 58 - 1) = "1" ), 3, 4 ) ) )</f>
        <v>4</v>
      </c>
    </row>
    <row r="109" spans="3:59" x14ac:dyDescent="0.25">
      <c r="C109" s="14" t="s">
        <v>152</v>
      </c>
      <c r="D109" s="16"/>
      <c r="E109" s="27">
        <f ca="1">IF((OFFSET($A$1, 97 - 1, 4 - 1) + OFFSET($A$1, 97 - 1, 5 - 1)) = 0,"Undefined",OFFSET($A$1, 97 - 1, 4 - 1)/(OFFSET($A$1, 97 - 1, 4 - 1) + OFFSET($A$1, 97 - 1, 5 - 1)))</f>
        <v>0</v>
      </c>
      <c r="AY109" s="7">
        <v>0.20524334548751555</v>
      </c>
      <c r="AZ109" s="7" t="str">
        <f>"0"</f>
        <v>0</v>
      </c>
      <c r="BA109" t="str">
        <f ca="1">IF((OFFSET($A$1, 109 - 1, 51 - 1)) &gt;= (OFFSET($A$1, 68 - 1, 7 - 1)), "1","0")</f>
        <v>0</v>
      </c>
      <c r="BB109">
        <f ca="1" xml:space="preserve"> IF( AND( OFFSET($A$1, 109 - 1, 52 - 1) = "1", OFFSET($A$1, 109 - 1, 53 - 1) = "1" ), 1, IF( AND( OFFSET($A$1, 109 - 1, 52 - 1) = "1", OFFSET($A$1, 109 - 1, 53 - 1) = "0" ), 2, IF( AND( OFFSET($A$1, 109 - 1, 52 - 1) = "0", OFFSET($A$1, 109 - 1, 53 - 1) = "1" ), 3, 4 ) ) )</f>
        <v>4</v>
      </c>
      <c r="BD109" s="7">
        <v>0.20524334548751555</v>
      </c>
      <c r="BE109" s="7" t="str">
        <f>"0"</f>
        <v>0</v>
      </c>
      <c r="BF109" t="str">
        <f ca="1">IF((OFFSET($A$1, 109 - 1, 56 - 1)) &gt;= (OFFSET($A$1, 92 - 1, 7 - 1)), "1","0")</f>
        <v>0</v>
      </c>
      <c r="BG109">
        <f ca="1" xml:space="preserve"> IF( AND( OFFSET($A$1, 109 - 1, 57 - 1) = "1", OFFSET($A$1, 109 - 1, 58 - 1) = "1" ), 1, IF( AND( OFFSET($A$1, 109 - 1, 57 - 1) = "1", OFFSET($A$1, 109 - 1, 58 - 1) = "0" ), 2, IF( AND( OFFSET($A$1, 109 - 1, 57 - 1) = "0", OFFSET($A$1, 109 - 1, 58 - 1) = "1" ), 3, 4 ) ) )</f>
        <v>4</v>
      </c>
    </row>
    <row r="110" spans="3:59" x14ac:dyDescent="0.25">
      <c r="C110" s="14" t="s">
        <v>153</v>
      </c>
      <c r="D110" s="16"/>
      <c r="E110" s="27">
        <f ca="1">IF((OFFSET($A$1, 98 - 1, 4 - 1) + OFFSET($A$1, 98 - 1, 5 - 1)) = 0,"Undefined",OFFSET($A$1, 98 - 1, 5 - 1)/(OFFSET($A$1, 98 - 1, 4 - 1) + OFFSET($A$1, 98 - 1, 5 - 1)))</f>
        <v>1</v>
      </c>
      <c r="AY110" s="7">
        <v>0.20524334548751555</v>
      </c>
      <c r="AZ110" s="7" t="str">
        <f>"0"</f>
        <v>0</v>
      </c>
      <c r="BA110" t="str">
        <f ca="1">IF((OFFSET($A$1, 110 - 1, 51 - 1)) &gt;= (OFFSET($A$1, 68 - 1, 7 - 1)), "1","0")</f>
        <v>0</v>
      </c>
      <c r="BB110">
        <f ca="1" xml:space="preserve"> IF( AND( OFFSET($A$1, 110 - 1, 52 - 1) = "1", OFFSET($A$1, 110 - 1, 53 - 1) = "1" ), 1, IF( AND( OFFSET($A$1, 110 - 1, 52 - 1) = "1", OFFSET($A$1, 110 - 1, 53 - 1) = "0" ), 2, IF( AND( OFFSET($A$1, 110 - 1, 52 - 1) = "0", OFFSET($A$1, 110 - 1, 53 - 1) = "1" ), 3, 4 ) ) )</f>
        <v>4</v>
      </c>
      <c r="BD110" s="7">
        <v>0.20524334548751555</v>
      </c>
      <c r="BE110" s="7" t="str">
        <f>"0"</f>
        <v>0</v>
      </c>
      <c r="BF110" t="str">
        <f ca="1">IF((OFFSET($A$1, 110 - 1, 56 - 1)) &gt;= (OFFSET($A$1, 92 - 1, 7 - 1)), "1","0")</f>
        <v>0</v>
      </c>
      <c r="BG110">
        <f ca="1" xml:space="preserve"> IF( AND( OFFSET($A$1, 110 - 1, 57 - 1) = "1", OFFSET($A$1, 110 - 1, 58 - 1) = "1" ), 1, IF( AND( OFFSET($A$1, 110 - 1, 57 - 1) = "1", OFFSET($A$1, 110 - 1, 58 - 1) = "0" ), 2, IF( AND( OFFSET($A$1, 110 - 1, 57 - 1) = "0", OFFSET($A$1, 110 - 1, 58 - 1) = "1" ), 3, 4 ) ) )</f>
        <v>4</v>
      </c>
    </row>
    <row r="111" spans="3:59" x14ac:dyDescent="0.25">
      <c r="C111" s="14" t="s">
        <v>154</v>
      </c>
      <c r="D111" s="16"/>
      <c r="E111" s="27" t="str">
        <f ca="1">IF(OR(OFFSET($A$1, 108 - 1, 5 - 1)="Undefined",OFFSET($A$1, 109 - 1, 5 - 1)="Undefined"),"Undefined",IF((OFFSET($A$1, 108 - 1, 5 - 1) + OFFSET($A$1, 109 - 1, 5 - 1))=0,"Undefined",2*OFFSET($A$1, 108 - 1, 5 - 1)*OFFSET($A$1, 109 - 1, 5 - 1)/(OFFSET($A$1, 108 - 1, 5 - 1)+OFFSET($A$1, 109 - 1, 5 - 1))))</f>
        <v>Undefined</v>
      </c>
      <c r="AY111" s="7">
        <v>0.16903397659089944</v>
      </c>
      <c r="AZ111" s="7" t="str">
        <f>"0"</f>
        <v>0</v>
      </c>
      <c r="BA111" t="str">
        <f ca="1">IF((OFFSET($A$1, 111 - 1, 51 - 1)) &gt;= (OFFSET($A$1, 68 - 1, 7 - 1)), "1","0")</f>
        <v>0</v>
      </c>
      <c r="BB111">
        <f ca="1" xml:space="preserve"> IF( AND( OFFSET($A$1, 111 - 1, 52 - 1) = "1", OFFSET($A$1, 111 - 1, 53 - 1) = "1" ), 1, IF( AND( OFFSET($A$1, 111 - 1, 52 - 1) = "1", OFFSET($A$1, 111 - 1, 53 - 1) = "0" ), 2, IF( AND( OFFSET($A$1, 111 - 1, 52 - 1) = "0", OFFSET($A$1, 111 - 1, 53 - 1) = "1" ), 3, 4 ) ) )</f>
        <v>4</v>
      </c>
      <c r="BD111" s="7">
        <v>0.16903397659089944</v>
      </c>
      <c r="BE111" s="7" t="str">
        <f>"0"</f>
        <v>0</v>
      </c>
      <c r="BF111" t="str">
        <f ca="1">IF((OFFSET($A$1, 111 - 1, 56 - 1)) &gt;= (OFFSET($A$1, 92 - 1, 7 - 1)), "1","0")</f>
        <v>0</v>
      </c>
      <c r="BG111">
        <f ca="1" xml:space="preserve"> IF( AND( OFFSET($A$1, 111 - 1, 57 - 1) = "1", OFFSET($A$1, 111 - 1, 58 - 1) = "1" ), 1, IF( AND( OFFSET($A$1, 111 - 1, 57 - 1) = "1", OFFSET($A$1, 111 - 1, 58 - 1) = "0" ), 2, IF( AND( OFFSET($A$1, 111 - 1, 57 - 1) = "0", OFFSET($A$1, 111 - 1, 58 - 1) = "1" ), 3, 4 ) ) )</f>
        <v>4</v>
      </c>
    </row>
    <row r="112" spans="3:59" x14ac:dyDescent="0.25">
      <c r="AY112" s="7">
        <v>0.20524334548751555</v>
      </c>
      <c r="AZ112" s="7" t="str">
        <f>"0"</f>
        <v>0</v>
      </c>
      <c r="BA112" t="str">
        <f ca="1">IF((OFFSET($A$1, 112 - 1, 51 - 1)) &gt;= (OFFSET($A$1, 68 - 1, 7 - 1)), "1","0")</f>
        <v>0</v>
      </c>
      <c r="BB112">
        <f ca="1" xml:space="preserve"> IF( AND( OFFSET($A$1, 112 - 1, 52 - 1) = "1", OFFSET($A$1, 112 - 1, 53 - 1) = "1" ), 1, IF( AND( OFFSET($A$1, 112 - 1, 52 - 1) = "1", OFFSET($A$1, 112 - 1, 53 - 1) = "0" ), 2, IF( AND( OFFSET($A$1, 112 - 1, 52 - 1) = "0", OFFSET($A$1, 112 - 1, 53 - 1) = "1" ), 3, 4 ) ) )</f>
        <v>4</v>
      </c>
      <c r="BD112" s="7">
        <v>0.20524334548751555</v>
      </c>
      <c r="BE112" s="7" t="str">
        <f>"1"</f>
        <v>1</v>
      </c>
      <c r="BF112" t="str">
        <f ca="1">IF((OFFSET($A$1, 112 - 1, 56 - 1)) &gt;= (OFFSET($A$1, 92 - 1, 7 - 1)), "1","0")</f>
        <v>0</v>
      </c>
      <c r="BG112">
        <f ca="1" xml:space="preserve"> IF( AND( OFFSET($A$1, 112 - 1, 57 - 1) = "1", OFFSET($A$1, 112 - 1, 58 - 1) = "1" ), 1, IF( AND( OFFSET($A$1, 112 - 1, 57 - 1) = "1", OFFSET($A$1, 112 - 1, 58 - 1) = "0" ), 2, IF( AND( OFFSET($A$1, 112 - 1, 57 - 1) = "0", OFFSET($A$1, 112 - 1, 58 - 1) = "1" ), 3, 4 ) ) )</f>
        <v>2</v>
      </c>
    </row>
    <row r="113" spans="51:59" x14ac:dyDescent="0.25">
      <c r="AY113" s="7">
        <v>0.16903397659089944</v>
      </c>
      <c r="AZ113" s="7" t="str">
        <f>"1"</f>
        <v>1</v>
      </c>
      <c r="BA113" t="str">
        <f ca="1">IF((OFFSET($A$1, 113 - 1, 51 - 1)) &gt;= (OFFSET($A$1, 68 - 1, 7 - 1)), "1","0")</f>
        <v>0</v>
      </c>
      <c r="BB113">
        <f ca="1" xml:space="preserve"> IF( AND( OFFSET($A$1, 113 - 1, 52 - 1) = "1", OFFSET($A$1, 113 - 1, 53 - 1) = "1" ), 1, IF( AND( OFFSET($A$1, 113 - 1, 52 - 1) = "1", OFFSET($A$1, 113 - 1, 53 - 1) = "0" ), 2, IF( AND( OFFSET($A$1, 113 - 1, 52 - 1) = "0", OFFSET($A$1, 113 - 1, 53 - 1) = "1" ), 3, 4 ) ) )</f>
        <v>2</v>
      </c>
      <c r="BD113" s="7">
        <v>0.16903397659089944</v>
      </c>
      <c r="BE113" s="7" t="str">
        <f>"0"</f>
        <v>0</v>
      </c>
      <c r="BF113" t="str">
        <f ca="1">IF((OFFSET($A$1, 113 - 1, 56 - 1)) &gt;= (OFFSET($A$1, 92 - 1, 7 - 1)), "1","0")</f>
        <v>0</v>
      </c>
      <c r="BG113">
        <f ca="1" xml:space="preserve"> IF( AND( OFFSET($A$1, 113 - 1, 57 - 1) = "1", OFFSET($A$1, 113 - 1, 58 - 1) = "1" ), 1, IF( AND( OFFSET($A$1, 113 - 1, 57 - 1) = "1", OFFSET($A$1, 113 - 1, 58 - 1) = "0" ), 2, IF( AND( OFFSET($A$1, 113 - 1, 57 - 1) = "0", OFFSET($A$1, 113 - 1, 58 - 1) = "1" ), 3, 4 ) ) )</f>
        <v>4</v>
      </c>
    </row>
    <row r="114" spans="51:59" x14ac:dyDescent="0.25">
      <c r="AY114" s="7">
        <v>0.20524334548751555</v>
      </c>
      <c r="AZ114" s="7" t="str">
        <f>"0"</f>
        <v>0</v>
      </c>
      <c r="BA114" t="str">
        <f ca="1">IF((OFFSET($A$1, 114 - 1, 51 - 1)) &gt;= (OFFSET($A$1, 68 - 1, 7 - 1)), "1","0")</f>
        <v>0</v>
      </c>
      <c r="BB114">
        <f ca="1" xml:space="preserve"> IF( AND( OFFSET($A$1, 114 - 1, 52 - 1) = "1", OFFSET($A$1, 114 - 1, 53 - 1) = "1" ), 1, IF( AND( OFFSET($A$1, 114 - 1, 52 - 1) = "1", OFFSET($A$1, 114 - 1, 53 - 1) = "0" ), 2, IF( AND( OFFSET($A$1, 114 - 1, 52 - 1) = "0", OFFSET($A$1, 114 - 1, 53 - 1) = "1" ), 3, 4 ) ) )</f>
        <v>4</v>
      </c>
      <c r="BD114" s="7">
        <v>0.20524334548751555</v>
      </c>
      <c r="BE114" s="7" t="str">
        <f>"0"</f>
        <v>0</v>
      </c>
      <c r="BF114" t="str">
        <f ca="1">IF((OFFSET($A$1, 114 - 1, 56 - 1)) &gt;= (OFFSET($A$1, 92 - 1, 7 - 1)), "1","0")</f>
        <v>0</v>
      </c>
      <c r="BG114">
        <f ca="1" xml:space="preserve"> IF( AND( OFFSET($A$1, 114 - 1, 57 - 1) = "1", OFFSET($A$1, 114 - 1, 58 - 1) = "1" ), 1, IF( AND( OFFSET($A$1, 114 - 1, 57 - 1) = "1", OFFSET($A$1, 114 - 1, 58 - 1) = "0" ), 2, IF( AND( OFFSET($A$1, 114 - 1, 57 - 1) = "0", OFFSET($A$1, 114 - 1, 58 - 1) = "1" ), 3, 4 ) ) )</f>
        <v>4</v>
      </c>
    </row>
    <row r="115" spans="51:59" x14ac:dyDescent="0.25">
      <c r="AY115" s="7">
        <v>0.20524334548751555</v>
      </c>
      <c r="AZ115" s="7" t="str">
        <f>"1"</f>
        <v>1</v>
      </c>
      <c r="BA115" t="str">
        <f ca="1">IF((OFFSET($A$1, 115 - 1, 51 - 1)) &gt;= (OFFSET($A$1, 68 - 1, 7 - 1)), "1","0")</f>
        <v>0</v>
      </c>
      <c r="BB115">
        <f ca="1" xml:space="preserve"> IF( AND( OFFSET($A$1, 115 - 1, 52 - 1) = "1", OFFSET($A$1, 115 - 1, 53 - 1) = "1" ), 1, IF( AND( OFFSET($A$1, 115 - 1, 52 - 1) = "1", OFFSET($A$1, 115 - 1, 53 - 1) = "0" ), 2, IF( AND( OFFSET($A$1, 115 - 1, 52 - 1) = "0", OFFSET($A$1, 115 - 1, 53 - 1) = "1" ), 3, 4 ) ) )</f>
        <v>2</v>
      </c>
      <c r="BD115" s="7">
        <v>0.20524334548751555</v>
      </c>
      <c r="BE115" s="7" t="str">
        <f>"0"</f>
        <v>0</v>
      </c>
      <c r="BF115" t="str">
        <f ca="1">IF((OFFSET($A$1, 115 - 1, 56 - 1)) &gt;= (OFFSET($A$1, 92 - 1, 7 - 1)), "1","0")</f>
        <v>0</v>
      </c>
      <c r="BG115">
        <f ca="1" xml:space="preserve"> IF( AND( OFFSET($A$1, 115 - 1, 57 - 1) = "1", OFFSET($A$1, 115 - 1, 58 - 1) = "1" ), 1, IF( AND( OFFSET($A$1, 115 - 1, 57 - 1) = "1", OFFSET($A$1, 115 - 1, 58 - 1) = "0" ), 2, IF( AND( OFFSET($A$1, 115 - 1, 57 - 1) = "0", OFFSET($A$1, 115 - 1, 58 - 1) = "1" ), 3, 4 ) ) )</f>
        <v>4</v>
      </c>
    </row>
    <row r="116" spans="51:59" x14ac:dyDescent="0.25">
      <c r="AY116" s="7">
        <v>0.20524334548751555</v>
      </c>
      <c r="AZ116" s="7" t="str">
        <f>"0"</f>
        <v>0</v>
      </c>
      <c r="BA116" t="str">
        <f ca="1">IF((OFFSET($A$1, 116 - 1, 51 - 1)) &gt;= (OFFSET($A$1, 68 - 1, 7 - 1)), "1","0")</f>
        <v>0</v>
      </c>
      <c r="BB116">
        <f ca="1" xml:space="preserve"> IF( AND( OFFSET($A$1, 116 - 1, 52 - 1) = "1", OFFSET($A$1, 116 - 1, 53 - 1) = "1" ), 1, IF( AND( OFFSET($A$1, 116 - 1, 52 - 1) = "1", OFFSET($A$1, 116 - 1, 53 - 1) = "0" ), 2, IF( AND( OFFSET($A$1, 116 - 1, 52 - 1) = "0", OFFSET($A$1, 116 - 1, 53 - 1) = "1" ), 3, 4 ) ) )</f>
        <v>4</v>
      </c>
      <c r="BD116" s="7">
        <v>0.20524334548751555</v>
      </c>
      <c r="BE116" s="7" t="str">
        <f>"0"</f>
        <v>0</v>
      </c>
      <c r="BF116" t="str">
        <f ca="1">IF((OFFSET($A$1, 116 - 1, 56 - 1)) &gt;= (OFFSET($A$1, 92 - 1, 7 - 1)), "1","0")</f>
        <v>0</v>
      </c>
      <c r="BG116">
        <f ca="1" xml:space="preserve"> IF( AND( OFFSET($A$1, 116 - 1, 57 - 1) = "1", OFFSET($A$1, 116 - 1, 58 - 1) = "1" ), 1, IF( AND( OFFSET($A$1, 116 - 1, 57 - 1) = "1", OFFSET($A$1, 116 - 1, 58 - 1) = "0" ), 2, IF( AND( OFFSET($A$1, 116 - 1, 57 - 1) = "0", OFFSET($A$1, 116 - 1, 58 - 1) = "1" ), 3, 4 ) ) )</f>
        <v>4</v>
      </c>
    </row>
    <row r="117" spans="51:59" x14ac:dyDescent="0.25">
      <c r="AY117" s="7">
        <v>0.20524334548751555</v>
      </c>
      <c r="AZ117" s="7" t="str">
        <f>"0"</f>
        <v>0</v>
      </c>
      <c r="BA117" t="str">
        <f ca="1">IF((OFFSET($A$1, 117 - 1, 51 - 1)) &gt;= (OFFSET($A$1, 68 - 1, 7 - 1)), "1","0")</f>
        <v>0</v>
      </c>
      <c r="BB117">
        <f ca="1" xml:space="preserve"> IF( AND( OFFSET($A$1, 117 - 1, 52 - 1) = "1", OFFSET($A$1, 117 - 1, 53 - 1) = "1" ), 1, IF( AND( OFFSET($A$1, 117 - 1, 52 - 1) = "1", OFFSET($A$1, 117 - 1, 53 - 1) = "0" ), 2, IF( AND( OFFSET($A$1, 117 - 1, 52 - 1) = "0", OFFSET($A$1, 117 - 1, 53 - 1) = "1" ), 3, 4 ) ) )</f>
        <v>4</v>
      </c>
      <c r="BD117" s="7">
        <v>0.20524334548751555</v>
      </c>
      <c r="BE117" s="7" t="str">
        <f>"0"</f>
        <v>0</v>
      </c>
      <c r="BF117" t="str">
        <f ca="1">IF((OFFSET($A$1, 117 - 1, 56 - 1)) &gt;= (OFFSET($A$1, 92 - 1, 7 - 1)), "1","0")</f>
        <v>0</v>
      </c>
      <c r="BG117">
        <f ca="1" xml:space="preserve"> IF( AND( OFFSET($A$1, 117 - 1, 57 - 1) = "1", OFFSET($A$1, 117 - 1, 58 - 1) = "1" ), 1, IF( AND( OFFSET($A$1, 117 - 1, 57 - 1) = "1", OFFSET($A$1, 117 - 1, 58 - 1) = "0" ), 2, IF( AND( OFFSET($A$1, 117 - 1, 57 - 1) = "0", OFFSET($A$1, 117 - 1, 58 - 1) = "1" ), 3, 4 ) ) )</f>
        <v>4</v>
      </c>
    </row>
    <row r="118" spans="51:59" x14ac:dyDescent="0.25">
      <c r="AY118" s="7">
        <v>0.20524334548751555</v>
      </c>
      <c r="AZ118" s="7" t="str">
        <f>"0"</f>
        <v>0</v>
      </c>
      <c r="BA118" t="str">
        <f ca="1">IF((OFFSET($A$1, 118 - 1, 51 - 1)) &gt;= (OFFSET($A$1, 68 - 1, 7 - 1)), "1","0")</f>
        <v>0</v>
      </c>
      <c r="BB118">
        <f ca="1" xml:space="preserve"> IF( AND( OFFSET($A$1, 118 - 1, 52 - 1) = "1", OFFSET($A$1, 118 - 1, 53 - 1) = "1" ), 1, IF( AND( OFFSET($A$1, 118 - 1, 52 - 1) = "1", OFFSET($A$1, 118 - 1, 53 - 1) = "0" ), 2, IF( AND( OFFSET($A$1, 118 - 1, 52 - 1) = "0", OFFSET($A$1, 118 - 1, 53 - 1) = "1" ), 3, 4 ) ) )</f>
        <v>4</v>
      </c>
      <c r="BD118" s="7">
        <v>0.20524334548751555</v>
      </c>
      <c r="BE118" s="7" t="str">
        <f>"1"</f>
        <v>1</v>
      </c>
      <c r="BF118" t="str">
        <f ca="1">IF((OFFSET($A$1, 118 - 1, 56 - 1)) &gt;= (OFFSET($A$1, 92 - 1, 7 - 1)), "1","0")</f>
        <v>0</v>
      </c>
      <c r="BG118">
        <f ca="1" xml:space="preserve"> IF( AND( OFFSET($A$1, 118 - 1, 57 - 1) = "1", OFFSET($A$1, 118 - 1, 58 - 1) = "1" ), 1, IF( AND( OFFSET($A$1, 118 - 1, 57 - 1) = "1", OFFSET($A$1, 118 - 1, 58 - 1) = "0" ), 2, IF( AND( OFFSET($A$1, 118 - 1, 57 - 1) = "0", OFFSET($A$1, 118 - 1, 58 - 1) = "1" ), 3, 4 ) ) )</f>
        <v>2</v>
      </c>
    </row>
    <row r="119" spans="51:59" x14ac:dyDescent="0.25">
      <c r="AY119" s="7">
        <v>0.16903397659089944</v>
      </c>
      <c r="AZ119" s="7" t="str">
        <f>"0"</f>
        <v>0</v>
      </c>
      <c r="BA119" t="str">
        <f ca="1">IF((OFFSET($A$1, 119 - 1, 51 - 1)) &gt;= (OFFSET($A$1, 68 - 1, 7 - 1)), "1","0")</f>
        <v>0</v>
      </c>
      <c r="BB119">
        <f ca="1" xml:space="preserve"> IF( AND( OFFSET($A$1, 119 - 1, 52 - 1) = "1", OFFSET($A$1, 119 - 1, 53 - 1) = "1" ), 1, IF( AND( OFFSET($A$1, 119 - 1, 52 - 1) = "1", OFFSET($A$1, 119 - 1, 53 - 1) = "0" ), 2, IF( AND( OFFSET($A$1, 119 - 1, 52 - 1) = "0", OFFSET($A$1, 119 - 1, 53 - 1) = "1" ), 3, 4 ) ) )</f>
        <v>4</v>
      </c>
      <c r="BD119" s="7">
        <v>0.20524334548751555</v>
      </c>
      <c r="BE119" s="7" t="str">
        <f>"0"</f>
        <v>0</v>
      </c>
      <c r="BF119" t="str">
        <f ca="1">IF((OFFSET($A$1, 119 - 1, 56 - 1)) &gt;= (OFFSET($A$1, 92 - 1, 7 - 1)), "1","0")</f>
        <v>0</v>
      </c>
      <c r="BG119">
        <f ca="1" xml:space="preserve"> IF( AND( OFFSET($A$1, 119 - 1, 57 - 1) = "1", OFFSET($A$1, 119 - 1, 58 - 1) = "1" ), 1, IF( AND( OFFSET($A$1, 119 - 1, 57 - 1) = "1", OFFSET($A$1, 119 - 1, 58 - 1) = "0" ), 2, IF( AND( OFFSET($A$1, 119 - 1, 57 - 1) = "0", OFFSET($A$1, 119 - 1, 58 - 1) = "1" ), 3, 4 ) ) )</f>
        <v>4</v>
      </c>
    </row>
    <row r="120" spans="51:59" x14ac:dyDescent="0.25">
      <c r="AY120" s="7">
        <v>0.20524334548751555</v>
      </c>
      <c r="AZ120" s="7" t="str">
        <f>"0"</f>
        <v>0</v>
      </c>
      <c r="BA120" t="str">
        <f ca="1">IF((OFFSET($A$1, 120 - 1, 51 - 1)) &gt;= (OFFSET($A$1, 68 - 1, 7 - 1)), "1","0")</f>
        <v>0</v>
      </c>
      <c r="BB120">
        <f ca="1" xml:space="preserve"> IF( AND( OFFSET($A$1, 120 - 1, 52 - 1) = "1", OFFSET($A$1, 120 - 1, 53 - 1) = "1" ), 1, IF( AND( OFFSET($A$1, 120 - 1, 52 - 1) = "1", OFFSET($A$1, 120 - 1, 53 - 1) = "0" ), 2, IF( AND( OFFSET($A$1, 120 - 1, 52 - 1) = "0", OFFSET($A$1, 120 - 1, 53 - 1) = "1" ), 3, 4 ) ) )</f>
        <v>4</v>
      </c>
      <c r="BD120" s="7">
        <v>0.20524334548751555</v>
      </c>
      <c r="BE120" s="7" t="str">
        <f>"0"</f>
        <v>0</v>
      </c>
      <c r="BF120" t="str">
        <f ca="1">IF((OFFSET($A$1, 120 - 1, 56 - 1)) &gt;= (OFFSET($A$1, 92 - 1, 7 - 1)), "1","0")</f>
        <v>0</v>
      </c>
      <c r="BG120">
        <f ca="1" xml:space="preserve"> IF( AND( OFFSET($A$1, 120 - 1, 57 - 1) = "1", OFFSET($A$1, 120 - 1, 58 - 1) = "1" ), 1, IF( AND( OFFSET($A$1, 120 - 1, 57 - 1) = "1", OFFSET($A$1, 120 - 1, 58 - 1) = "0" ), 2, IF( AND( OFFSET($A$1, 120 - 1, 57 - 1) = "0", OFFSET($A$1, 120 - 1, 58 - 1) = "1" ), 3, 4 ) ) )</f>
        <v>4</v>
      </c>
    </row>
    <row r="121" spans="51:59" x14ac:dyDescent="0.25">
      <c r="AY121" s="7">
        <v>0.20524334548751555</v>
      </c>
      <c r="AZ121" s="7" t="str">
        <f>"0"</f>
        <v>0</v>
      </c>
      <c r="BA121" t="str">
        <f ca="1">IF((OFFSET($A$1, 121 - 1, 51 - 1)) &gt;= (OFFSET($A$1, 68 - 1, 7 - 1)), "1","0")</f>
        <v>0</v>
      </c>
      <c r="BB121">
        <f ca="1" xml:space="preserve"> IF( AND( OFFSET($A$1, 121 - 1, 52 - 1) = "1", OFFSET($A$1, 121 - 1, 53 - 1) = "1" ), 1, IF( AND( OFFSET($A$1, 121 - 1, 52 - 1) = "1", OFFSET($A$1, 121 - 1, 53 - 1) = "0" ), 2, IF( AND( OFFSET($A$1, 121 - 1, 52 - 1) = "0", OFFSET($A$1, 121 - 1, 53 - 1) = "1" ), 3, 4 ) ) )</f>
        <v>4</v>
      </c>
      <c r="BD121" s="7">
        <v>0.20524334548751555</v>
      </c>
      <c r="BE121" s="7" t="str">
        <f>"1"</f>
        <v>1</v>
      </c>
      <c r="BF121" t="str">
        <f ca="1">IF((OFFSET($A$1, 121 - 1, 56 - 1)) &gt;= (OFFSET($A$1, 92 - 1, 7 - 1)), "1","0")</f>
        <v>0</v>
      </c>
      <c r="BG121">
        <f ca="1" xml:space="preserve"> IF( AND( OFFSET($A$1, 121 - 1, 57 - 1) = "1", OFFSET($A$1, 121 - 1, 58 - 1) = "1" ), 1, IF( AND( OFFSET($A$1, 121 - 1, 57 - 1) = "1", OFFSET($A$1, 121 - 1, 58 - 1) = "0" ), 2, IF( AND( OFFSET($A$1, 121 - 1, 57 - 1) = "0", OFFSET($A$1, 121 - 1, 58 - 1) = "1" ), 3, 4 ) ) )</f>
        <v>2</v>
      </c>
    </row>
    <row r="122" spans="51:59" x14ac:dyDescent="0.25">
      <c r="AY122" s="7">
        <v>0.16903397659089944</v>
      </c>
      <c r="AZ122" s="7" t="str">
        <f>"0"</f>
        <v>0</v>
      </c>
      <c r="BA122" t="str">
        <f ca="1">IF((OFFSET($A$1, 122 - 1, 51 - 1)) &gt;= (OFFSET($A$1, 68 - 1, 7 - 1)), "1","0")</f>
        <v>0</v>
      </c>
      <c r="BB122">
        <f ca="1" xml:space="preserve"> IF( AND( OFFSET($A$1, 122 - 1, 52 - 1) = "1", OFFSET($A$1, 122 - 1, 53 - 1) = "1" ), 1, IF( AND( OFFSET($A$1, 122 - 1, 52 - 1) = "1", OFFSET($A$1, 122 - 1, 53 - 1) = "0" ), 2, IF( AND( OFFSET($A$1, 122 - 1, 52 - 1) = "0", OFFSET($A$1, 122 - 1, 53 - 1) = "1" ), 3, 4 ) ) )</f>
        <v>4</v>
      </c>
      <c r="BD122" s="7">
        <v>0.20524334548751555</v>
      </c>
      <c r="BE122" s="7" t="str">
        <f>"0"</f>
        <v>0</v>
      </c>
      <c r="BF122" t="str">
        <f ca="1">IF((OFFSET($A$1, 122 - 1, 56 - 1)) &gt;= (OFFSET($A$1, 92 - 1, 7 - 1)), "1","0")</f>
        <v>0</v>
      </c>
      <c r="BG122">
        <f ca="1" xml:space="preserve"> IF( AND( OFFSET($A$1, 122 - 1, 57 - 1) = "1", OFFSET($A$1, 122 - 1, 58 - 1) = "1" ), 1, IF( AND( OFFSET($A$1, 122 - 1, 57 - 1) = "1", OFFSET($A$1, 122 - 1, 58 - 1) = "0" ), 2, IF( AND( OFFSET($A$1, 122 - 1, 57 - 1) = "0", OFFSET($A$1, 122 - 1, 58 - 1) = "1" ), 3, 4 ) ) )</f>
        <v>4</v>
      </c>
    </row>
    <row r="123" spans="51:59" x14ac:dyDescent="0.25">
      <c r="AY123" s="7">
        <v>0.20524334548751555</v>
      </c>
      <c r="AZ123" s="7" t="str">
        <f>"0"</f>
        <v>0</v>
      </c>
      <c r="BA123" t="str">
        <f ca="1">IF((OFFSET($A$1, 123 - 1, 51 - 1)) &gt;= (OFFSET($A$1, 68 - 1, 7 - 1)), "1","0")</f>
        <v>0</v>
      </c>
      <c r="BB123">
        <f ca="1" xml:space="preserve"> IF( AND( OFFSET($A$1, 123 - 1, 52 - 1) = "1", OFFSET($A$1, 123 - 1, 53 - 1) = "1" ), 1, IF( AND( OFFSET($A$1, 123 - 1, 52 - 1) = "1", OFFSET($A$1, 123 - 1, 53 - 1) = "0" ), 2, IF( AND( OFFSET($A$1, 123 - 1, 52 - 1) = "0", OFFSET($A$1, 123 - 1, 53 - 1) = "1" ), 3, 4 ) ) )</f>
        <v>4</v>
      </c>
      <c r="BD123" s="7">
        <v>0.20524334548751555</v>
      </c>
      <c r="BE123" s="7" t="str">
        <f>"0"</f>
        <v>0</v>
      </c>
      <c r="BF123" t="str">
        <f ca="1">IF((OFFSET($A$1, 123 - 1, 56 - 1)) &gt;= (OFFSET($A$1, 92 - 1, 7 - 1)), "1","0")</f>
        <v>0</v>
      </c>
      <c r="BG123">
        <f ca="1" xml:space="preserve"> IF( AND( OFFSET($A$1, 123 - 1, 57 - 1) = "1", OFFSET($A$1, 123 - 1, 58 - 1) = "1" ), 1, IF( AND( OFFSET($A$1, 123 - 1, 57 - 1) = "1", OFFSET($A$1, 123 - 1, 58 - 1) = "0" ), 2, IF( AND( OFFSET($A$1, 123 - 1, 57 - 1) = "0", OFFSET($A$1, 123 - 1, 58 - 1) = "1" ), 3, 4 ) ) )</f>
        <v>4</v>
      </c>
    </row>
    <row r="124" spans="51:59" x14ac:dyDescent="0.25">
      <c r="AY124" s="7">
        <v>0.20524334548751555</v>
      </c>
      <c r="AZ124" s="7" t="str">
        <f>"0"</f>
        <v>0</v>
      </c>
      <c r="BA124" t="str">
        <f ca="1">IF((OFFSET($A$1, 124 - 1, 51 - 1)) &gt;= (OFFSET($A$1, 68 - 1, 7 - 1)), "1","0")</f>
        <v>0</v>
      </c>
      <c r="BB124">
        <f ca="1" xml:space="preserve"> IF( AND( OFFSET($A$1, 124 - 1, 52 - 1) = "1", OFFSET($A$1, 124 - 1, 53 - 1) = "1" ), 1, IF( AND( OFFSET($A$1, 124 - 1, 52 - 1) = "1", OFFSET($A$1, 124 - 1, 53 - 1) = "0" ), 2, IF( AND( OFFSET($A$1, 124 - 1, 52 - 1) = "0", OFFSET($A$1, 124 - 1, 53 - 1) = "1" ), 3, 4 ) ) )</f>
        <v>4</v>
      </c>
      <c r="BD124" s="7">
        <v>0.20524334548751555</v>
      </c>
      <c r="BE124" s="7" t="str">
        <f>"0"</f>
        <v>0</v>
      </c>
      <c r="BF124" t="str">
        <f ca="1">IF((OFFSET($A$1, 124 - 1, 56 - 1)) &gt;= (OFFSET($A$1, 92 - 1, 7 - 1)), "1","0")</f>
        <v>0</v>
      </c>
      <c r="BG124">
        <f ca="1" xml:space="preserve"> IF( AND( OFFSET($A$1, 124 - 1, 57 - 1) = "1", OFFSET($A$1, 124 - 1, 58 - 1) = "1" ), 1, IF( AND( OFFSET($A$1, 124 - 1, 57 - 1) = "1", OFFSET($A$1, 124 - 1, 58 - 1) = "0" ), 2, IF( AND( OFFSET($A$1, 124 - 1, 57 - 1) = "0", OFFSET($A$1, 124 - 1, 58 - 1) = "1" ), 3, 4 ) ) )</f>
        <v>4</v>
      </c>
    </row>
    <row r="125" spans="51:59" x14ac:dyDescent="0.25">
      <c r="AY125" s="7">
        <v>0.20524334548751555</v>
      </c>
      <c r="AZ125" s="7" t="str">
        <f>"0"</f>
        <v>0</v>
      </c>
      <c r="BA125" t="str">
        <f ca="1">IF((OFFSET($A$1, 125 - 1, 51 - 1)) &gt;= (OFFSET($A$1, 68 - 1, 7 - 1)), "1","0")</f>
        <v>0</v>
      </c>
      <c r="BB125">
        <f ca="1" xml:space="preserve"> IF( AND( OFFSET($A$1, 125 - 1, 52 - 1) = "1", OFFSET($A$1, 125 - 1, 53 - 1) = "1" ), 1, IF( AND( OFFSET($A$1, 125 - 1, 52 - 1) = "1", OFFSET($A$1, 125 - 1, 53 - 1) = "0" ), 2, IF( AND( OFFSET($A$1, 125 - 1, 52 - 1) = "0", OFFSET($A$1, 125 - 1, 53 - 1) = "1" ), 3, 4 ) ) )</f>
        <v>4</v>
      </c>
      <c r="BD125" s="7">
        <v>0.16903397659089944</v>
      </c>
      <c r="BE125" s="7" t="str">
        <f>"0"</f>
        <v>0</v>
      </c>
      <c r="BF125" t="str">
        <f ca="1">IF((OFFSET($A$1, 125 - 1, 56 - 1)) &gt;= (OFFSET($A$1, 92 - 1, 7 - 1)), "1","0")</f>
        <v>0</v>
      </c>
      <c r="BG125">
        <f ca="1" xml:space="preserve"> IF( AND( OFFSET($A$1, 125 - 1, 57 - 1) = "1", OFFSET($A$1, 125 - 1, 58 - 1) = "1" ), 1, IF( AND( OFFSET($A$1, 125 - 1, 57 - 1) = "1", OFFSET($A$1, 125 - 1, 58 - 1) = "0" ), 2, IF( AND( OFFSET($A$1, 125 - 1, 57 - 1) = "0", OFFSET($A$1, 125 - 1, 58 - 1) = "1" ), 3, 4 ) ) )</f>
        <v>4</v>
      </c>
    </row>
    <row r="126" spans="51:59" x14ac:dyDescent="0.25">
      <c r="AY126" s="7">
        <v>0.20524334548751555</v>
      </c>
      <c r="AZ126" s="7" t="str">
        <f>"0"</f>
        <v>0</v>
      </c>
      <c r="BA126" t="str">
        <f ca="1">IF((OFFSET($A$1, 126 - 1, 51 - 1)) &gt;= (OFFSET($A$1, 68 - 1, 7 - 1)), "1","0")</f>
        <v>0</v>
      </c>
      <c r="BB126">
        <f ca="1" xml:space="preserve"> IF( AND( OFFSET($A$1, 126 - 1, 52 - 1) = "1", OFFSET($A$1, 126 - 1, 53 - 1) = "1" ), 1, IF( AND( OFFSET($A$1, 126 - 1, 52 - 1) = "1", OFFSET($A$1, 126 - 1, 53 - 1) = "0" ), 2, IF( AND( OFFSET($A$1, 126 - 1, 52 - 1) = "0", OFFSET($A$1, 126 - 1, 53 - 1) = "1" ), 3, 4 ) ) )</f>
        <v>4</v>
      </c>
      <c r="BD126" s="7">
        <v>0.20524334548751555</v>
      </c>
      <c r="BE126" s="7" t="str">
        <f>"1"</f>
        <v>1</v>
      </c>
      <c r="BF126" t="str">
        <f ca="1">IF((OFFSET($A$1, 126 - 1, 56 - 1)) &gt;= (OFFSET($A$1, 92 - 1, 7 - 1)), "1","0")</f>
        <v>0</v>
      </c>
      <c r="BG126">
        <f ca="1" xml:space="preserve"> IF( AND( OFFSET($A$1, 126 - 1, 57 - 1) = "1", OFFSET($A$1, 126 - 1, 58 - 1) = "1" ), 1, IF( AND( OFFSET($A$1, 126 - 1, 57 - 1) = "1", OFFSET($A$1, 126 - 1, 58 - 1) = "0" ), 2, IF( AND( OFFSET($A$1, 126 - 1, 57 - 1) = "0", OFFSET($A$1, 126 - 1, 58 - 1) = "1" ), 3, 4 ) ) )</f>
        <v>2</v>
      </c>
    </row>
    <row r="127" spans="51:59" x14ac:dyDescent="0.25">
      <c r="AY127" s="7">
        <v>0.20524334548751555</v>
      </c>
      <c r="AZ127" s="7" t="str">
        <f>"0"</f>
        <v>0</v>
      </c>
      <c r="BA127" t="str">
        <f ca="1">IF((OFFSET($A$1, 127 - 1, 51 - 1)) &gt;= (OFFSET($A$1, 68 - 1, 7 - 1)), "1","0")</f>
        <v>0</v>
      </c>
      <c r="BB127">
        <f ca="1" xml:space="preserve"> IF( AND( OFFSET($A$1, 127 - 1, 52 - 1) = "1", OFFSET($A$1, 127 - 1, 53 - 1) = "1" ), 1, IF( AND( OFFSET($A$1, 127 - 1, 52 - 1) = "1", OFFSET($A$1, 127 - 1, 53 - 1) = "0" ), 2, IF( AND( OFFSET($A$1, 127 - 1, 52 - 1) = "0", OFFSET($A$1, 127 - 1, 53 - 1) = "1" ), 3, 4 ) ) )</f>
        <v>4</v>
      </c>
      <c r="BD127" s="7">
        <v>0.20524334548751555</v>
      </c>
      <c r="BE127" s="7" t="str">
        <f>"1"</f>
        <v>1</v>
      </c>
      <c r="BF127" t="str">
        <f ca="1">IF((OFFSET($A$1, 127 - 1, 56 - 1)) &gt;= (OFFSET($A$1, 92 - 1, 7 - 1)), "1","0")</f>
        <v>0</v>
      </c>
      <c r="BG127">
        <f ca="1" xml:space="preserve"> IF( AND( OFFSET($A$1, 127 - 1, 57 - 1) = "1", OFFSET($A$1, 127 - 1, 58 - 1) = "1" ), 1, IF( AND( OFFSET($A$1, 127 - 1, 57 - 1) = "1", OFFSET($A$1, 127 - 1, 58 - 1) = "0" ), 2, IF( AND( OFFSET($A$1, 127 - 1, 57 - 1) = "0", OFFSET($A$1, 127 - 1, 58 - 1) = "1" ), 3, 4 ) ) )</f>
        <v>2</v>
      </c>
    </row>
    <row r="128" spans="51:59" x14ac:dyDescent="0.25">
      <c r="AY128" s="7">
        <v>0.20524334548751555</v>
      </c>
      <c r="AZ128" s="7" t="str">
        <f>"0"</f>
        <v>0</v>
      </c>
      <c r="BA128" t="str">
        <f ca="1">IF((OFFSET($A$1, 128 - 1, 51 - 1)) &gt;= (OFFSET($A$1, 68 - 1, 7 - 1)), "1","0")</f>
        <v>0</v>
      </c>
      <c r="BB128">
        <f ca="1" xml:space="preserve"> IF( AND( OFFSET($A$1, 128 - 1, 52 - 1) = "1", OFFSET($A$1, 128 - 1, 53 - 1) = "1" ), 1, IF( AND( OFFSET($A$1, 128 - 1, 52 - 1) = "1", OFFSET($A$1, 128 - 1, 53 - 1) = "0" ), 2, IF( AND( OFFSET($A$1, 128 - 1, 52 - 1) = "0", OFFSET($A$1, 128 - 1, 53 - 1) = "1" ), 3, 4 ) ) )</f>
        <v>4</v>
      </c>
      <c r="BD128" s="7">
        <v>0.20524334548751555</v>
      </c>
      <c r="BE128" s="7" t="str">
        <f>"1"</f>
        <v>1</v>
      </c>
      <c r="BF128" t="str">
        <f ca="1">IF((OFFSET($A$1, 128 - 1, 56 - 1)) &gt;= (OFFSET($A$1, 92 - 1, 7 - 1)), "1","0")</f>
        <v>0</v>
      </c>
      <c r="BG128">
        <f ca="1" xml:space="preserve"> IF( AND( OFFSET($A$1, 128 - 1, 57 - 1) = "1", OFFSET($A$1, 128 - 1, 58 - 1) = "1" ), 1, IF( AND( OFFSET($A$1, 128 - 1, 57 - 1) = "1", OFFSET($A$1, 128 - 1, 58 - 1) = "0" ), 2, IF( AND( OFFSET($A$1, 128 - 1, 57 - 1) = "0", OFFSET($A$1, 128 - 1, 58 - 1) = "1" ), 3, 4 ) ) )</f>
        <v>2</v>
      </c>
    </row>
    <row r="129" spans="51:59" x14ac:dyDescent="0.25">
      <c r="AY129" s="7">
        <v>0.16903397659089944</v>
      </c>
      <c r="AZ129" s="7" t="str">
        <f>"0"</f>
        <v>0</v>
      </c>
      <c r="BA129" t="str">
        <f ca="1">IF((OFFSET($A$1, 129 - 1, 51 - 1)) &gt;= (OFFSET($A$1, 68 - 1, 7 - 1)), "1","0")</f>
        <v>0</v>
      </c>
      <c r="BB129">
        <f ca="1" xml:space="preserve"> IF( AND( OFFSET($A$1, 129 - 1, 52 - 1) = "1", OFFSET($A$1, 129 - 1, 53 - 1) = "1" ), 1, IF( AND( OFFSET($A$1, 129 - 1, 52 - 1) = "1", OFFSET($A$1, 129 - 1, 53 - 1) = "0" ), 2, IF( AND( OFFSET($A$1, 129 - 1, 52 - 1) = "0", OFFSET($A$1, 129 - 1, 53 - 1) = "1" ), 3, 4 ) ) )</f>
        <v>4</v>
      </c>
      <c r="BD129" s="7">
        <v>0.20524334548751555</v>
      </c>
      <c r="BE129" s="7" t="str">
        <f>"0"</f>
        <v>0</v>
      </c>
      <c r="BF129" t="str">
        <f ca="1">IF((OFFSET($A$1, 129 - 1, 56 - 1)) &gt;= (OFFSET($A$1, 92 - 1, 7 - 1)), "1","0")</f>
        <v>0</v>
      </c>
      <c r="BG129">
        <f ca="1" xml:space="preserve"> IF( AND( OFFSET($A$1, 129 - 1, 57 - 1) = "1", OFFSET($A$1, 129 - 1, 58 - 1) = "1" ), 1, IF( AND( OFFSET($A$1, 129 - 1, 57 - 1) = "1", OFFSET($A$1, 129 - 1, 58 - 1) = "0" ), 2, IF( AND( OFFSET($A$1, 129 - 1, 57 - 1) = "0", OFFSET($A$1, 129 - 1, 58 - 1) = "1" ), 3, 4 ) ) )</f>
        <v>4</v>
      </c>
    </row>
    <row r="130" spans="51:59" x14ac:dyDescent="0.25">
      <c r="AY130" s="7">
        <v>0.16903397659089944</v>
      </c>
      <c r="AZ130" s="7" t="str">
        <f>"0"</f>
        <v>0</v>
      </c>
      <c r="BA130" t="str">
        <f ca="1">IF((OFFSET($A$1, 130 - 1, 51 - 1)) &gt;= (OFFSET($A$1, 68 - 1, 7 - 1)), "1","0")</f>
        <v>0</v>
      </c>
      <c r="BB130">
        <f ca="1" xml:space="preserve"> IF( AND( OFFSET($A$1, 130 - 1, 52 - 1) = "1", OFFSET($A$1, 130 - 1, 53 - 1) = "1" ), 1, IF( AND( OFFSET($A$1, 130 - 1, 52 - 1) = "1", OFFSET($A$1, 130 - 1, 53 - 1) = "0" ), 2, IF( AND( OFFSET($A$1, 130 - 1, 52 - 1) = "0", OFFSET($A$1, 130 - 1, 53 - 1) = "1" ), 3, 4 ) ) )</f>
        <v>4</v>
      </c>
      <c r="BD130" s="7">
        <v>0.16903397659089944</v>
      </c>
      <c r="BE130" s="7" t="str">
        <f>"0"</f>
        <v>0</v>
      </c>
      <c r="BF130" t="str">
        <f ca="1">IF((OFFSET($A$1, 130 - 1, 56 - 1)) &gt;= (OFFSET($A$1, 92 - 1, 7 - 1)), "1","0")</f>
        <v>0</v>
      </c>
      <c r="BG130">
        <f ca="1" xml:space="preserve"> IF( AND( OFFSET($A$1, 130 - 1, 57 - 1) = "1", OFFSET($A$1, 130 - 1, 58 - 1) = "1" ), 1, IF( AND( OFFSET($A$1, 130 - 1, 57 - 1) = "1", OFFSET($A$1, 130 - 1, 58 - 1) = "0" ), 2, IF( AND( OFFSET($A$1, 130 - 1, 57 - 1) = "0", OFFSET($A$1, 130 - 1, 58 - 1) = "1" ), 3, 4 ) ) )</f>
        <v>4</v>
      </c>
    </row>
    <row r="131" spans="51:59" x14ac:dyDescent="0.25">
      <c r="AY131" s="7">
        <v>0.20524334548751555</v>
      </c>
      <c r="AZ131" s="7" t="str">
        <f>"0"</f>
        <v>0</v>
      </c>
      <c r="BA131" t="str">
        <f ca="1">IF((OFFSET($A$1, 131 - 1, 51 - 1)) &gt;= (OFFSET($A$1, 68 - 1, 7 - 1)), "1","0")</f>
        <v>0</v>
      </c>
      <c r="BB131">
        <f ca="1" xml:space="preserve"> IF( AND( OFFSET($A$1, 131 - 1, 52 - 1) = "1", OFFSET($A$1, 131 - 1, 53 - 1) = "1" ), 1, IF( AND( OFFSET($A$1, 131 - 1, 52 - 1) = "1", OFFSET($A$1, 131 - 1, 53 - 1) = "0" ), 2, IF( AND( OFFSET($A$1, 131 - 1, 52 - 1) = "0", OFFSET($A$1, 131 - 1, 53 - 1) = "1" ), 3, 4 ) ) )</f>
        <v>4</v>
      </c>
      <c r="BD131" s="7">
        <v>0.20524334548751555</v>
      </c>
      <c r="BE131" s="7" t="str">
        <f>"0"</f>
        <v>0</v>
      </c>
      <c r="BF131" t="str">
        <f ca="1">IF((OFFSET($A$1, 131 - 1, 56 - 1)) &gt;= (OFFSET($A$1, 92 - 1, 7 - 1)), "1","0")</f>
        <v>0</v>
      </c>
      <c r="BG131">
        <f ca="1" xml:space="preserve"> IF( AND( OFFSET($A$1, 131 - 1, 57 - 1) = "1", OFFSET($A$1, 131 - 1, 58 - 1) = "1" ), 1, IF( AND( OFFSET($A$1, 131 - 1, 57 - 1) = "1", OFFSET($A$1, 131 - 1, 58 - 1) = "0" ), 2, IF( AND( OFFSET($A$1, 131 - 1, 57 - 1) = "0", OFFSET($A$1, 131 - 1, 58 - 1) = "1" ), 3, 4 ) ) )</f>
        <v>4</v>
      </c>
    </row>
    <row r="132" spans="51:59" x14ac:dyDescent="0.25">
      <c r="AY132" s="7">
        <v>0.20524334548751555</v>
      </c>
      <c r="AZ132" s="7" t="str">
        <f>"0"</f>
        <v>0</v>
      </c>
      <c r="BA132" t="str">
        <f ca="1">IF((OFFSET($A$1, 132 - 1, 51 - 1)) &gt;= (OFFSET($A$1, 68 - 1, 7 - 1)), "1","0")</f>
        <v>0</v>
      </c>
      <c r="BB132">
        <f ca="1" xml:space="preserve"> IF( AND( OFFSET($A$1, 132 - 1, 52 - 1) = "1", OFFSET($A$1, 132 - 1, 53 - 1) = "1" ), 1, IF( AND( OFFSET($A$1, 132 - 1, 52 - 1) = "1", OFFSET($A$1, 132 - 1, 53 - 1) = "0" ), 2, IF( AND( OFFSET($A$1, 132 - 1, 52 - 1) = "0", OFFSET($A$1, 132 - 1, 53 - 1) = "1" ), 3, 4 ) ) )</f>
        <v>4</v>
      </c>
      <c r="BD132" s="7">
        <v>0.16903397659089944</v>
      </c>
      <c r="BE132" s="7" t="str">
        <f>"0"</f>
        <v>0</v>
      </c>
      <c r="BF132" t="str">
        <f ca="1">IF((OFFSET($A$1, 132 - 1, 56 - 1)) &gt;= (OFFSET($A$1, 92 - 1, 7 - 1)), "1","0")</f>
        <v>0</v>
      </c>
      <c r="BG132">
        <f ca="1" xml:space="preserve"> IF( AND( OFFSET($A$1, 132 - 1, 57 - 1) = "1", OFFSET($A$1, 132 - 1, 58 - 1) = "1" ), 1, IF( AND( OFFSET($A$1, 132 - 1, 57 - 1) = "1", OFFSET($A$1, 132 - 1, 58 - 1) = "0" ), 2, IF( AND( OFFSET($A$1, 132 - 1, 57 - 1) = "0", OFFSET($A$1, 132 - 1, 58 - 1) = "1" ), 3, 4 ) ) )</f>
        <v>4</v>
      </c>
    </row>
    <row r="133" spans="51:59" x14ac:dyDescent="0.25">
      <c r="AY133" s="7">
        <v>0.20524334548751555</v>
      </c>
      <c r="AZ133" s="7" t="str">
        <f>"0"</f>
        <v>0</v>
      </c>
      <c r="BA133" t="str">
        <f ca="1">IF((OFFSET($A$1, 133 - 1, 51 - 1)) &gt;= (OFFSET($A$1, 68 - 1, 7 - 1)), "1","0")</f>
        <v>0</v>
      </c>
      <c r="BB133">
        <f ca="1" xml:space="preserve"> IF( AND( OFFSET($A$1, 133 - 1, 52 - 1) = "1", OFFSET($A$1, 133 - 1, 53 - 1) = "1" ), 1, IF( AND( OFFSET($A$1, 133 - 1, 52 - 1) = "1", OFFSET($A$1, 133 - 1, 53 - 1) = "0" ), 2, IF( AND( OFFSET($A$1, 133 - 1, 52 - 1) = "0", OFFSET($A$1, 133 - 1, 53 - 1) = "1" ), 3, 4 ) ) )</f>
        <v>4</v>
      </c>
      <c r="BD133" s="7">
        <v>0.16903397659089944</v>
      </c>
      <c r="BE133" s="7" t="str">
        <f>"0"</f>
        <v>0</v>
      </c>
      <c r="BF133" t="str">
        <f ca="1">IF((OFFSET($A$1, 133 - 1, 56 - 1)) &gt;= (OFFSET($A$1, 92 - 1, 7 - 1)), "1","0")</f>
        <v>0</v>
      </c>
      <c r="BG133">
        <f ca="1" xml:space="preserve"> IF( AND( OFFSET($A$1, 133 - 1, 57 - 1) = "1", OFFSET($A$1, 133 - 1, 58 - 1) = "1" ), 1, IF( AND( OFFSET($A$1, 133 - 1, 57 - 1) = "1", OFFSET($A$1, 133 - 1, 58 - 1) = "0" ), 2, IF( AND( OFFSET($A$1, 133 - 1, 57 - 1) = "0", OFFSET($A$1, 133 - 1, 58 - 1) = "1" ), 3, 4 ) ) )</f>
        <v>4</v>
      </c>
    </row>
    <row r="134" spans="51:59" x14ac:dyDescent="0.25">
      <c r="AY134" s="7">
        <v>0.20524334548751555</v>
      </c>
      <c r="AZ134" s="7" t="str">
        <f>"0"</f>
        <v>0</v>
      </c>
      <c r="BA134" t="str">
        <f ca="1">IF((OFFSET($A$1, 134 - 1, 51 - 1)) &gt;= (OFFSET($A$1, 68 - 1, 7 - 1)), "1","0")</f>
        <v>0</v>
      </c>
      <c r="BB134">
        <f ca="1" xml:space="preserve"> IF( AND( OFFSET($A$1, 134 - 1, 52 - 1) = "1", OFFSET($A$1, 134 - 1, 53 - 1) = "1" ), 1, IF( AND( OFFSET($A$1, 134 - 1, 52 - 1) = "1", OFFSET($A$1, 134 - 1, 53 - 1) = "0" ), 2, IF( AND( OFFSET($A$1, 134 - 1, 52 - 1) = "0", OFFSET($A$1, 134 - 1, 53 - 1) = "1" ), 3, 4 ) ) )</f>
        <v>4</v>
      </c>
      <c r="BD134" s="7">
        <v>0.20524334548751555</v>
      </c>
      <c r="BE134" s="7" t="str">
        <f>"1"</f>
        <v>1</v>
      </c>
      <c r="BF134" t="str">
        <f ca="1">IF((OFFSET($A$1, 134 - 1, 56 - 1)) &gt;= (OFFSET($A$1, 92 - 1, 7 - 1)), "1","0")</f>
        <v>0</v>
      </c>
      <c r="BG134">
        <f ca="1" xml:space="preserve"> IF( AND( OFFSET($A$1, 134 - 1, 57 - 1) = "1", OFFSET($A$1, 134 - 1, 58 - 1) = "1" ), 1, IF( AND( OFFSET($A$1, 134 - 1, 57 - 1) = "1", OFFSET($A$1, 134 - 1, 58 - 1) = "0" ), 2, IF( AND( OFFSET($A$1, 134 - 1, 57 - 1) = "0", OFFSET($A$1, 134 - 1, 58 - 1) = "1" ), 3, 4 ) ) )</f>
        <v>2</v>
      </c>
    </row>
    <row r="135" spans="51:59" x14ac:dyDescent="0.25">
      <c r="AY135" s="7">
        <v>0.20524334548751555</v>
      </c>
      <c r="AZ135" s="7" t="str">
        <f>"0"</f>
        <v>0</v>
      </c>
      <c r="BA135" t="str">
        <f ca="1">IF((OFFSET($A$1, 135 - 1, 51 - 1)) &gt;= (OFFSET($A$1, 68 - 1, 7 - 1)), "1","0")</f>
        <v>0</v>
      </c>
      <c r="BB135">
        <f ca="1" xml:space="preserve"> IF( AND( OFFSET($A$1, 135 - 1, 52 - 1) = "1", OFFSET($A$1, 135 - 1, 53 - 1) = "1" ), 1, IF( AND( OFFSET($A$1, 135 - 1, 52 - 1) = "1", OFFSET($A$1, 135 - 1, 53 - 1) = "0" ), 2, IF( AND( OFFSET($A$1, 135 - 1, 52 - 1) = "0", OFFSET($A$1, 135 - 1, 53 - 1) = "1" ), 3, 4 ) ) )</f>
        <v>4</v>
      </c>
      <c r="BD135" s="7">
        <v>0.20524334548751555</v>
      </c>
      <c r="BE135" s="7" t="str">
        <f>"0"</f>
        <v>0</v>
      </c>
      <c r="BF135" t="str">
        <f ca="1">IF((OFFSET($A$1, 135 - 1, 56 - 1)) &gt;= (OFFSET($A$1, 92 - 1, 7 - 1)), "1","0")</f>
        <v>0</v>
      </c>
      <c r="BG135">
        <f ca="1" xml:space="preserve"> IF( AND( OFFSET($A$1, 135 - 1, 57 - 1) = "1", OFFSET($A$1, 135 - 1, 58 - 1) = "1" ), 1, IF( AND( OFFSET($A$1, 135 - 1, 57 - 1) = "1", OFFSET($A$1, 135 - 1, 58 - 1) = "0" ), 2, IF( AND( OFFSET($A$1, 135 - 1, 57 - 1) = "0", OFFSET($A$1, 135 - 1, 58 - 1) = "1" ), 3, 4 ) ) )</f>
        <v>4</v>
      </c>
    </row>
    <row r="136" spans="51:59" x14ac:dyDescent="0.25">
      <c r="AY136" s="7">
        <v>0.20524334548751555</v>
      </c>
      <c r="AZ136" s="7" t="str">
        <f>"1"</f>
        <v>1</v>
      </c>
      <c r="BA136" t="str">
        <f ca="1">IF((OFFSET($A$1, 136 - 1, 51 - 1)) &gt;= (OFFSET($A$1, 68 - 1, 7 - 1)), "1","0")</f>
        <v>0</v>
      </c>
      <c r="BB136">
        <f ca="1" xml:space="preserve"> IF( AND( OFFSET($A$1, 136 - 1, 52 - 1) = "1", OFFSET($A$1, 136 - 1, 53 - 1) = "1" ), 1, IF( AND( OFFSET($A$1, 136 - 1, 52 - 1) = "1", OFFSET($A$1, 136 - 1, 53 - 1) = "0" ), 2, IF( AND( OFFSET($A$1, 136 - 1, 52 - 1) = "0", OFFSET($A$1, 136 - 1, 53 - 1) = "1" ), 3, 4 ) ) )</f>
        <v>2</v>
      </c>
      <c r="BD136" s="7">
        <v>0.20524334548751555</v>
      </c>
      <c r="BE136" s="7" t="str">
        <f>"1"</f>
        <v>1</v>
      </c>
      <c r="BF136" t="str">
        <f ca="1">IF((OFFSET($A$1, 136 - 1, 56 - 1)) &gt;= (OFFSET($A$1, 92 - 1, 7 - 1)), "1","0")</f>
        <v>0</v>
      </c>
      <c r="BG136">
        <f ca="1" xml:space="preserve"> IF( AND( OFFSET($A$1, 136 - 1, 57 - 1) = "1", OFFSET($A$1, 136 - 1, 58 - 1) = "1" ), 1, IF( AND( OFFSET($A$1, 136 - 1, 57 - 1) = "1", OFFSET($A$1, 136 - 1, 58 - 1) = "0" ), 2, IF( AND( OFFSET($A$1, 136 - 1, 57 - 1) = "0", OFFSET($A$1, 136 - 1, 58 - 1) = "1" ), 3, 4 ) ) )</f>
        <v>2</v>
      </c>
    </row>
    <row r="137" spans="51:59" x14ac:dyDescent="0.25">
      <c r="AY137" s="7">
        <v>0.20524334548751555</v>
      </c>
      <c r="AZ137" s="7" t="str">
        <f>"0"</f>
        <v>0</v>
      </c>
      <c r="BA137" t="str">
        <f ca="1">IF((OFFSET($A$1, 137 - 1, 51 - 1)) &gt;= (OFFSET($A$1, 68 - 1, 7 - 1)), "1","0")</f>
        <v>0</v>
      </c>
      <c r="BB137">
        <f ca="1" xml:space="preserve"> IF( AND( OFFSET($A$1, 137 - 1, 52 - 1) = "1", OFFSET($A$1, 137 - 1, 53 - 1) = "1" ), 1, IF( AND( OFFSET($A$1, 137 - 1, 52 - 1) = "1", OFFSET($A$1, 137 - 1, 53 - 1) = "0" ), 2, IF( AND( OFFSET($A$1, 137 - 1, 52 - 1) = "0", OFFSET($A$1, 137 - 1, 53 - 1) = "1" ), 3, 4 ) ) )</f>
        <v>4</v>
      </c>
      <c r="BD137" s="7">
        <v>0.20524334548751555</v>
      </c>
      <c r="BE137" s="7" t="str">
        <f>"0"</f>
        <v>0</v>
      </c>
      <c r="BF137" t="str">
        <f ca="1">IF((OFFSET($A$1, 137 - 1, 56 - 1)) &gt;= (OFFSET($A$1, 92 - 1, 7 - 1)), "1","0")</f>
        <v>0</v>
      </c>
      <c r="BG137">
        <f ca="1" xml:space="preserve"> IF( AND( OFFSET($A$1, 137 - 1, 57 - 1) = "1", OFFSET($A$1, 137 - 1, 58 - 1) = "1" ), 1, IF( AND( OFFSET($A$1, 137 - 1, 57 - 1) = "1", OFFSET($A$1, 137 - 1, 58 - 1) = "0" ), 2, IF( AND( OFFSET($A$1, 137 - 1, 57 - 1) = "0", OFFSET($A$1, 137 - 1, 58 - 1) = "1" ), 3, 4 ) ) )</f>
        <v>4</v>
      </c>
    </row>
    <row r="138" spans="51:59" x14ac:dyDescent="0.25">
      <c r="AY138" s="7">
        <v>0.20524334548751555</v>
      </c>
      <c r="AZ138" s="7" t="str">
        <f>"0"</f>
        <v>0</v>
      </c>
      <c r="BA138" t="str">
        <f ca="1">IF((OFFSET($A$1, 138 - 1, 51 - 1)) &gt;= (OFFSET($A$1, 68 - 1, 7 - 1)), "1","0")</f>
        <v>0</v>
      </c>
      <c r="BB138">
        <f ca="1" xml:space="preserve"> IF( AND( OFFSET($A$1, 138 - 1, 52 - 1) = "1", OFFSET($A$1, 138 - 1, 53 - 1) = "1" ), 1, IF( AND( OFFSET($A$1, 138 - 1, 52 - 1) = "1", OFFSET($A$1, 138 - 1, 53 - 1) = "0" ), 2, IF( AND( OFFSET($A$1, 138 - 1, 52 - 1) = "0", OFFSET($A$1, 138 - 1, 53 - 1) = "1" ), 3, 4 ) ) )</f>
        <v>4</v>
      </c>
      <c r="BD138" s="7">
        <v>0.20524334548751555</v>
      </c>
      <c r="BE138" s="7" t="str">
        <f>"0"</f>
        <v>0</v>
      </c>
      <c r="BF138" t="str">
        <f ca="1">IF((OFFSET($A$1, 138 - 1, 56 - 1)) &gt;= (OFFSET($A$1, 92 - 1, 7 - 1)), "1","0")</f>
        <v>0</v>
      </c>
      <c r="BG138">
        <f ca="1" xml:space="preserve"> IF( AND( OFFSET($A$1, 138 - 1, 57 - 1) = "1", OFFSET($A$1, 138 - 1, 58 - 1) = "1" ), 1, IF( AND( OFFSET($A$1, 138 - 1, 57 - 1) = "1", OFFSET($A$1, 138 - 1, 58 - 1) = "0" ), 2, IF( AND( OFFSET($A$1, 138 - 1, 57 - 1) = "0", OFFSET($A$1, 138 - 1, 58 - 1) = "1" ), 3, 4 ) ) )</f>
        <v>4</v>
      </c>
    </row>
    <row r="139" spans="51:59" x14ac:dyDescent="0.25">
      <c r="AY139" s="7">
        <v>0.20524334548751555</v>
      </c>
      <c r="AZ139" s="7" t="str">
        <f>"0"</f>
        <v>0</v>
      </c>
      <c r="BA139" t="str">
        <f ca="1">IF((OFFSET($A$1, 139 - 1, 51 - 1)) &gt;= (OFFSET($A$1, 68 - 1, 7 - 1)), "1","0")</f>
        <v>0</v>
      </c>
      <c r="BB139">
        <f ca="1" xml:space="preserve"> IF( AND( OFFSET($A$1, 139 - 1, 52 - 1) = "1", OFFSET($A$1, 139 - 1, 53 - 1) = "1" ), 1, IF( AND( OFFSET($A$1, 139 - 1, 52 - 1) = "1", OFFSET($A$1, 139 - 1, 53 - 1) = "0" ), 2, IF( AND( OFFSET($A$1, 139 - 1, 52 - 1) = "0", OFFSET($A$1, 139 - 1, 53 - 1) = "1" ), 3, 4 ) ) )</f>
        <v>4</v>
      </c>
      <c r="BD139" s="7">
        <v>0.20524334548751555</v>
      </c>
      <c r="BE139" s="7" t="str">
        <f>"0"</f>
        <v>0</v>
      </c>
      <c r="BF139" t="str">
        <f ca="1">IF((OFFSET($A$1, 139 - 1, 56 - 1)) &gt;= (OFFSET($A$1, 92 - 1, 7 - 1)), "1","0")</f>
        <v>0</v>
      </c>
      <c r="BG139">
        <f ca="1" xml:space="preserve"> IF( AND( OFFSET($A$1, 139 - 1, 57 - 1) = "1", OFFSET($A$1, 139 - 1, 58 - 1) = "1" ), 1, IF( AND( OFFSET($A$1, 139 - 1, 57 - 1) = "1", OFFSET($A$1, 139 - 1, 58 - 1) = "0" ), 2, IF( AND( OFFSET($A$1, 139 - 1, 57 - 1) = "0", OFFSET($A$1, 139 - 1, 58 - 1) = "1" ), 3, 4 ) ) )</f>
        <v>4</v>
      </c>
    </row>
    <row r="140" spans="51:59" x14ac:dyDescent="0.25">
      <c r="AY140" s="7">
        <v>0.20524334548751555</v>
      </c>
      <c r="AZ140" s="7" t="str">
        <f>"0"</f>
        <v>0</v>
      </c>
      <c r="BA140" t="str">
        <f ca="1">IF((OFFSET($A$1, 140 - 1, 51 - 1)) &gt;= (OFFSET($A$1, 68 - 1, 7 - 1)), "1","0")</f>
        <v>0</v>
      </c>
      <c r="BB140">
        <f ca="1" xml:space="preserve"> IF( AND( OFFSET($A$1, 140 - 1, 52 - 1) = "1", OFFSET($A$1, 140 - 1, 53 - 1) = "1" ), 1, IF( AND( OFFSET($A$1, 140 - 1, 52 - 1) = "1", OFFSET($A$1, 140 - 1, 53 - 1) = "0" ), 2, IF( AND( OFFSET($A$1, 140 - 1, 52 - 1) = "0", OFFSET($A$1, 140 - 1, 53 - 1) = "1" ), 3, 4 ) ) )</f>
        <v>4</v>
      </c>
      <c r="BD140" s="7">
        <v>0.20524334548751555</v>
      </c>
      <c r="BE140" s="7" t="str">
        <f>"1"</f>
        <v>1</v>
      </c>
      <c r="BF140" t="str">
        <f ca="1">IF((OFFSET($A$1, 140 - 1, 56 - 1)) &gt;= (OFFSET($A$1, 92 - 1, 7 - 1)), "1","0")</f>
        <v>0</v>
      </c>
      <c r="BG140">
        <f ca="1" xml:space="preserve"> IF( AND( OFFSET($A$1, 140 - 1, 57 - 1) = "1", OFFSET($A$1, 140 - 1, 58 - 1) = "1" ), 1, IF( AND( OFFSET($A$1, 140 - 1, 57 - 1) = "1", OFFSET($A$1, 140 - 1, 58 - 1) = "0" ), 2, IF( AND( OFFSET($A$1, 140 - 1, 57 - 1) = "0", OFFSET($A$1, 140 - 1, 58 - 1) = "1" ), 3, 4 ) ) )</f>
        <v>2</v>
      </c>
    </row>
    <row r="141" spans="51:59" x14ac:dyDescent="0.25">
      <c r="AY141" s="7">
        <v>0.20524334548751555</v>
      </c>
      <c r="AZ141" s="7" t="str">
        <f>"0"</f>
        <v>0</v>
      </c>
      <c r="BA141" t="str">
        <f ca="1">IF((OFFSET($A$1, 141 - 1, 51 - 1)) &gt;= (OFFSET($A$1, 68 - 1, 7 - 1)), "1","0")</f>
        <v>0</v>
      </c>
      <c r="BB141">
        <f ca="1" xml:space="preserve"> IF( AND( OFFSET($A$1, 141 - 1, 52 - 1) = "1", OFFSET($A$1, 141 - 1, 53 - 1) = "1" ), 1, IF( AND( OFFSET($A$1, 141 - 1, 52 - 1) = "1", OFFSET($A$1, 141 - 1, 53 - 1) = "0" ), 2, IF( AND( OFFSET($A$1, 141 - 1, 52 - 1) = "0", OFFSET($A$1, 141 - 1, 53 - 1) = "1" ), 3, 4 ) ) )</f>
        <v>4</v>
      </c>
      <c r="BD141" s="7">
        <v>0.20524334548751555</v>
      </c>
      <c r="BE141" s="7" t="str">
        <f>"0"</f>
        <v>0</v>
      </c>
      <c r="BF141" t="str">
        <f ca="1">IF((OFFSET($A$1, 141 - 1, 56 - 1)) &gt;= (OFFSET($A$1, 92 - 1, 7 - 1)), "1","0")</f>
        <v>0</v>
      </c>
      <c r="BG141">
        <f ca="1" xml:space="preserve"> IF( AND( OFFSET($A$1, 141 - 1, 57 - 1) = "1", OFFSET($A$1, 141 - 1, 58 - 1) = "1" ), 1, IF( AND( OFFSET($A$1, 141 - 1, 57 - 1) = "1", OFFSET($A$1, 141 - 1, 58 - 1) = "0" ), 2, IF( AND( OFFSET($A$1, 141 - 1, 57 - 1) = "0", OFFSET($A$1, 141 - 1, 58 - 1) = "1" ), 3, 4 ) ) )</f>
        <v>4</v>
      </c>
    </row>
    <row r="142" spans="51:59" x14ac:dyDescent="0.25">
      <c r="AY142" s="7">
        <v>0.20524334548751555</v>
      </c>
      <c r="AZ142" s="7" t="str">
        <f>"1"</f>
        <v>1</v>
      </c>
      <c r="BA142" t="str">
        <f ca="1">IF((OFFSET($A$1, 142 - 1, 51 - 1)) &gt;= (OFFSET($A$1, 68 - 1, 7 - 1)), "1","0")</f>
        <v>0</v>
      </c>
      <c r="BB142">
        <f ca="1" xml:space="preserve"> IF( AND( OFFSET($A$1, 142 - 1, 52 - 1) = "1", OFFSET($A$1, 142 - 1, 53 - 1) = "1" ), 1, IF( AND( OFFSET($A$1, 142 - 1, 52 - 1) = "1", OFFSET($A$1, 142 - 1, 53 - 1) = "0" ), 2, IF( AND( OFFSET($A$1, 142 - 1, 52 - 1) = "0", OFFSET($A$1, 142 - 1, 53 - 1) = "1" ), 3, 4 ) ) )</f>
        <v>2</v>
      </c>
      <c r="BD142" s="7">
        <v>0.20524334548751555</v>
      </c>
      <c r="BE142" s="7" t="str">
        <f>"0"</f>
        <v>0</v>
      </c>
      <c r="BF142" t="str">
        <f ca="1">IF((OFFSET($A$1, 142 - 1, 56 - 1)) &gt;= (OFFSET($A$1, 92 - 1, 7 - 1)), "1","0")</f>
        <v>0</v>
      </c>
      <c r="BG142">
        <f ca="1" xml:space="preserve"> IF( AND( OFFSET($A$1, 142 - 1, 57 - 1) = "1", OFFSET($A$1, 142 - 1, 58 - 1) = "1" ), 1, IF( AND( OFFSET($A$1, 142 - 1, 57 - 1) = "1", OFFSET($A$1, 142 - 1, 58 - 1) = "0" ), 2, IF( AND( OFFSET($A$1, 142 - 1, 57 - 1) = "0", OFFSET($A$1, 142 - 1, 58 - 1) = "1" ), 3, 4 ) ) )</f>
        <v>4</v>
      </c>
    </row>
    <row r="143" spans="51:59" x14ac:dyDescent="0.25">
      <c r="AY143" s="7">
        <v>0.20524334548751555</v>
      </c>
      <c r="AZ143" s="7" t="str">
        <f>"0"</f>
        <v>0</v>
      </c>
      <c r="BA143" t="str">
        <f ca="1">IF((OFFSET($A$1, 143 - 1, 51 - 1)) &gt;= (OFFSET($A$1, 68 - 1, 7 - 1)), "1","0")</f>
        <v>0</v>
      </c>
      <c r="BB143">
        <f ca="1" xml:space="preserve"> IF( AND( OFFSET($A$1, 143 - 1, 52 - 1) = "1", OFFSET($A$1, 143 - 1, 53 - 1) = "1" ), 1, IF( AND( OFFSET($A$1, 143 - 1, 52 - 1) = "1", OFFSET($A$1, 143 - 1, 53 - 1) = "0" ), 2, IF( AND( OFFSET($A$1, 143 - 1, 52 - 1) = "0", OFFSET($A$1, 143 - 1, 53 - 1) = "1" ), 3, 4 ) ) )</f>
        <v>4</v>
      </c>
      <c r="BD143" s="7">
        <v>0.20524334548751555</v>
      </c>
      <c r="BE143" s="7" t="str">
        <f>"0"</f>
        <v>0</v>
      </c>
      <c r="BF143" t="str">
        <f ca="1">IF((OFFSET($A$1, 143 - 1, 56 - 1)) &gt;= (OFFSET($A$1, 92 - 1, 7 - 1)), "1","0")</f>
        <v>0</v>
      </c>
      <c r="BG143">
        <f ca="1" xml:space="preserve"> IF( AND( OFFSET($A$1, 143 - 1, 57 - 1) = "1", OFFSET($A$1, 143 - 1, 58 - 1) = "1" ), 1, IF( AND( OFFSET($A$1, 143 - 1, 57 - 1) = "1", OFFSET($A$1, 143 - 1, 58 - 1) = "0" ), 2, IF( AND( OFFSET($A$1, 143 - 1, 57 - 1) = "0", OFFSET($A$1, 143 - 1, 58 - 1) = "1" ), 3, 4 ) ) )</f>
        <v>4</v>
      </c>
    </row>
    <row r="144" spans="51:59" x14ac:dyDescent="0.25">
      <c r="AY144" s="7">
        <v>0.20524334548751555</v>
      </c>
      <c r="AZ144" s="7" t="str">
        <f>"0"</f>
        <v>0</v>
      </c>
      <c r="BA144" t="str">
        <f ca="1">IF((OFFSET($A$1, 144 - 1, 51 - 1)) &gt;= (OFFSET($A$1, 68 - 1, 7 - 1)), "1","0")</f>
        <v>0</v>
      </c>
      <c r="BB144">
        <f ca="1" xml:space="preserve"> IF( AND( OFFSET($A$1, 144 - 1, 52 - 1) = "1", OFFSET($A$1, 144 - 1, 53 - 1) = "1" ), 1, IF( AND( OFFSET($A$1, 144 - 1, 52 - 1) = "1", OFFSET($A$1, 144 - 1, 53 - 1) = "0" ), 2, IF( AND( OFFSET($A$1, 144 - 1, 52 - 1) = "0", OFFSET($A$1, 144 - 1, 53 - 1) = "1" ), 3, 4 ) ) )</f>
        <v>4</v>
      </c>
      <c r="BD144" s="7">
        <v>0.20524334548751555</v>
      </c>
      <c r="BE144" s="7" t="str">
        <f>"0"</f>
        <v>0</v>
      </c>
      <c r="BF144" t="str">
        <f ca="1">IF((OFFSET($A$1, 144 - 1, 56 - 1)) &gt;= (OFFSET($A$1, 92 - 1, 7 - 1)), "1","0")</f>
        <v>0</v>
      </c>
      <c r="BG144">
        <f ca="1" xml:space="preserve"> IF( AND( OFFSET($A$1, 144 - 1, 57 - 1) = "1", OFFSET($A$1, 144 - 1, 58 - 1) = "1" ), 1, IF( AND( OFFSET($A$1, 144 - 1, 57 - 1) = "1", OFFSET($A$1, 144 - 1, 58 - 1) = "0" ), 2, IF( AND( OFFSET($A$1, 144 - 1, 57 - 1) = "0", OFFSET($A$1, 144 - 1, 58 - 1) = "1" ), 3, 4 ) ) )</f>
        <v>4</v>
      </c>
    </row>
    <row r="145" spans="51:59" x14ac:dyDescent="0.25">
      <c r="AY145" s="7">
        <v>0.20524334548751555</v>
      </c>
      <c r="AZ145" s="7" t="str">
        <f>"1"</f>
        <v>1</v>
      </c>
      <c r="BA145" t="str">
        <f ca="1">IF((OFFSET($A$1, 145 - 1, 51 - 1)) &gt;= (OFFSET($A$1, 68 - 1, 7 - 1)), "1","0")</f>
        <v>0</v>
      </c>
      <c r="BB145">
        <f ca="1" xml:space="preserve"> IF( AND( OFFSET($A$1, 145 - 1, 52 - 1) = "1", OFFSET($A$1, 145 - 1, 53 - 1) = "1" ), 1, IF( AND( OFFSET($A$1, 145 - 1, 52 - 1) = "1", OFFSET($A$1, 145 - 1, 53 - 1) = "0" ), 2, IF( AND( OFFSET($A$1, 145 - 1, 52 - 1) = "0", OFFSET($A$1, 145 - 1, 53 - 1) = "1" ), 3, 4 ) ) )</f>
        <v>2</v>
      </c>
      <c r="BD145" s="7">
        <v>0.20524334548751555</v>
      </c>
      <c r="BE145" s="7" t="str">
        <f>"0"</f>
        <v>0</v>
      </c>
      <c r="BF145" t="str">
        <f ca="1">IF((OFFSET($A$1, 145 - 1, 56 - 1)) &gt;= (OFFSET($A$1, 92 - 1, 7 - 1)), "1","0")</f>
        <v>0</v>
      </c>
      <c r="BG145">
        <f ca="1" xml:space="preserve"> IF( AND( OFFSET($A$1, 145 - 1, 57 - 1) = "1", OFFSET($A$1, 145 - 1, 58 - 1) = "1" ), 1, IF( AND( OFFSET($A$1, 145 - 1, 57 - 1) = "1", OFFSET($A$1, 145 - 1, 58 - 1) = "0" ), 2, IF( AND( OFFSET($A$1, 145 - 1, 57 - 1) = "0", OFFSET($A$1, 145 - 1, 58 - 1) = "1" ), 3, 4 ) ) )</f>
        <v>4</v>
      </c>
    </row>
    <row r="146" spans="51:59" x14ac:dyDescent="0.25">
      <c r="AY146" s="7">
        <v>0.16903397659089944</v>
      </c>
      <c r="AZ146" s="7" t="str">
        <f>"0"</f>
        <v>0</v>
      </c>
      <c r="BA146" t="str">
        <f ca="1">IF((OFFSET($A$1, 146 - 1, 51 - 1)) &gt;= (OFFSET($A$1, 68 - 1, 7 - 1)), "1","0")</f>
        <v>0</v>
      </c>
      <c r="BB146">
        <f ca="1" xml:space="preserve"> IF( AND( OFFSET($A$1, 146 - 1, 52 - 1) = "1", OFFSET($A$1, 146 - 1, 53 - 1) = "1" ), 1, IF( AND( OFFSET($A$1, 146 - 1, 52 - 1) = "1", OFFSET($A$1, 146 - 1, 53 - 1) = "0" ), 2, IF( AND( OFFSET($A$1, 146 - 1, 52 - 1) = "0", OFFSET($A$1, 146 - 1, 53 - 1) = "1" ), 3, 4 ) ) )</f>
        <v>4</v>
      </c>
      <c r="BD146" s="7">
        <v>0.20524334548751555</v>
      </c>
      <c r="BE146" s="7" t="str">
        <f>"1"</f>
        <v>1</v>
      </c>
      <c r="BF146" t="str">
        <f ca="1">IF((OFFSET($A$1, 146 - 1, 56 - 1)) &gt;= (OFFSET($A$1, 92 - 1, 7 - 1)), "1","0")</f>
        <v>0</v>
      </c>
      <c r="BG146">
        <f ca="1" xml:space="preserve"> IF( AND( OFFSET($A$1, 146 - 1, 57 - 1) = "1", OFFSET($A$1, 146 - 1, 58 - 1) = "1" ), 1, IF( AND( OFFSET($A$1, 146 - 1, 57 - 1) = "1", OFFSET($A$1, 146 - 1, 58 - 1) = "0" ), 2, IF( AND( OFFSET($A$1, 146 - 1, 57 - 1) = "0", OFFSET($A$1, 146 - 1, 58 - 1) = "1" ), 3, 4 ) ) )</f>
        <v>2</v>
      </c>
    </row>
    <row r="147" spans="51:59" x14ac:dyDescent="0.25">
      <c r="AY147" s="7">
        <v>0.20524334548751555</v>
      </c>
      <c r="AZ147" s="7" t="str">
        <f>"0"</f>
        <v>0</v>
      </c>
      <c r="BA147" t="str">
        <f ca="1">IF((OFFSET($A$1, 147 - 1, 51 - 1)) &gt;= (OFFSET($A$1, 68 - 1, 7 - 1)), "1","0")</f>
        <v>0</v>
      </c>
      <c r="BB147">
        <f ca="1" xml:space="preserve"> IF( AND( OFFSET($A$1, 147 - 1, 52 - 1) = "1", OFFSET($A$1, 147 - 1, 53 - 1) = "1" ), 1, IF( AND( OFFSET($A$1, 147 - 1, 52 - 1) = "1", OFFSET($A$1, 147 - 1, 53 - 1) = "0" ), 2, IF( AND( OFFSET($A$1, 147 - 1, 52 - 1) = "0", OFFSET($A$1, 147 - 1, 53 - 1) = "1" ), 3, 4 ) ) )</f>
        <v>4</v>
      </c>
      <c r="BD147" s="7">
        <v>0.20524334548751555</v>
      </c>
      <c r="BE147" s="7" t="str">
        <f>"0"</f>
        <v>0</v>
      </c>
      <c r="BF147" t="str">
        <f ca="1">IF((OFFSET($A$1, 147 - 1, 56 - 1)) &gt;= (OFFSET($A$1, 92 - 1, 7 - 1)), "1","0")</f>
        <v>0</v>
      </c>
      <c r="BG147">
        <f ca="1" xml:space="preserve"> IF( AND( OFFSET($A$1, 147 - 1, 57 - 1) = "1", OFFSET($A$1, 147 - 1, 58 - 1) = "1" ), 1, IF( AND( OFFSET($A$1, 147 - 1, 57 - 1) = "1", OFFSET($A$1, 147 - 1, 58 - 1) = "0" ), 2, IF( AND( OFFSET($A$1, 147 - 1, 57 - 1) = "0", OFFSET($A$1, 147 - 1, 58 - 1) = "1" ), 3, 4 ) ) )</f>
        <v>4</v>
      </c>
    </row>
    <row r="148" spans="51:59" x14ac:dyDescent="0.25">
      <c r="AY148" s="7">
        <v>0.20524334548751555</v>
      </c>
      <c r="AZ148" s="7" t="str">
        <f>"0"</f>
        <v>0</v>
      </c>
      <c r="BA148" t="str">
        <f ca="1">IF((OFFSET($A$1, 148 - 1, 51 - 1)) &gt;= (OFFSET($A$1, 68 - 1, 7 - 1)), "1","0")</f>
        <v>0</v>
      </c>
      <c r="BB148">
        <f ca="1" xml:space="preserve"> IF( AND( OFFSET($A$1, 148 - 1, 52 - 1) = "1", OFFSET($A$1, 148 - 1, 53 - 1) = "1" ), 1, IF( AND( OFFSET($A$1, 148 - 1, 52 - 1) = "1", OFFSET($A$1, 148 - 1, 53 - 1) = "0" ), 2, IF( AND( OFFSET($A$1, 148 - 1, 52 - 1) = "0", OFFSET($A$1, 148 - 1, 53 - 1) = "1" ), 3, 4 ) ) )</f>
        <v>4</v>
      </c>
      <c r="BD148" s="7">
        <v>0.20524334548751555</v>
      </c>
      <c r="BE148" s="7" t="str">
        <f>"0"</f>
        <v>0</v>
      </c>
      <c r="BF148" t="str">
        <f ca="1">IF((OFFSET($A$1, 148 - 1, 56 - 1)) &gt;= (OFFSET($A$1, 92 - 1, 7 - 1)), "1","0")</f>
        <v>0</v>
      </c>
      <c r="BG148">
        <f ca="1" xml:space="preserve"> IF( AND( OFFSET($A$1, 148 - 1, 57 - 1) = "1", OFFSET($A$1, 148 - 1, 58 - 1) = "1" ), 1, IF( AND( OFFSET($A$1, 148 - 1, 57 - 1) = "1", OFFSET($A$1, 148 - 1, 58 - 1) = "0" ), 2, IF( AND( OFFSET($A$1, 148 - 1, 57 - 1) = "0", OFFSET($A$1, 148 - 1, 58 - 1) = "1" ), 3, 4 ) ) )</f>
        <v>4</v>
      </c>
    </row>
    <row r="149" spans="51:59" x14ac:dyDescent="0.25">
      <c r="AY149" s="7">
        <v>0.20524334548751555</v>
      </c>
      <c r="AZ149" s="7" t="str">
        <f>"0"</f>
        <v>0</v>
      </c>
      <c r="BA149" t="str">
        <f ca="1">IF((OFFSET($A$1, 149 - 1, 51 - 1)) &gt;= (OFFSET($A$1, 68 - 1, 7 - 1)), "1","0")</f>
        <v>0</v>
      </c>
      <c r="BB149">
        <f ca="1" xml:space="preserve"> IF( AND( OFFSET($A$1, 149 - 1, 52 - 1) = "1", OFFSET($A$1, 149 - 1, 53 - 1) = "1" ), 1, IF( AND( OFFSET($A$1, 149 - 1, 52 - 1) = "1", OFFSET($A$1, 149 - 1, 53 - 1) = "0" ), 2, IF( AND( OFFSET($A$1, 149 - 1, 52 - 1) = "0", OFFSET($A$1, 149 - 1, 53 - 1) = "1" ), 3, 4 ) ) )</f>
        <v>4</v>
      </c>
      <c r="BD149" s="7">
        <v>0.20524334548751555</v>
      </c>
      <c r="BE149" s="7" t="str">
        <f>"0"</f>
        <v>0</v>
      </c>
      <c r="BF149" t="str">
        <f ca="1">IF((OFFSET($A$1, 149 - 1, 56 - 1)) &gt;= (OFFSET($A$1, 92 - 1, 7 - 1)), "1","0")</f>
        <v>0</v>
      </c>
      <c r="BG149">
        <f ca="1" xml:space="preserve"> IF( AND( OFFSET($A$1, 149 - 1, 57 - 1) = "1", OFFSET($A$1, 149 - 1, 58 - 1) = "1" ), 1, IF( AND( OFFSET($A$1, 149 - 1, 57 - 1) = "1", OFFSET($A$1, 149 - 1, 58 - 1) = "0" ), 2, IF( AND( OFFSET($A$1, 149 - 1, 57 - 1) = "0", OFFSET($A$1, 149 - 1, 58 - 1) = "1" ), 3, 4 ) ) )</f>
        <v>4</v>
      </c>
    </row>
    <row r="150" spans="51:59" x14ac:dyDescent="0.25">
      <c r="AY150" s="7">
        <v>0.20524334548751555</v>
      </c>
      <c r="AZ150" s="7" t="str">
        <f>"0"</f>
        <v>0</v>
      </c>
      <c r="BA150" t="str">
        <f ca="1">IF((OFFSET($A$1, 150 - 1, 51 - 1)) &gt;= (OFFSET($A$1, 68 - 1, 7 - 1)), "1","0")</f>
        <v>0</v>
      </c>
      <c r="BB150">
        <f ca="1" xml:space="preserve"> IF( AND( OFFSET($A$1, 150 - 1, 52 - 1) = "1", OFFSET($A$1, 150 - 1, 53 - 1) = "1" ), 1, IF( AND( OFFSET($A$1, 150 - 1, 52 - 1) = "1", OFFSET($A$1, 150 - 1, 53 - 1) = "0" ), 2, IF( AND( OFFSET($A$1, 150 - 1, 52 - 1) = "0", OFFSET($A$1, 150 - 1, 53 - 1) = "1" ), 3, 4 ) ) )</f>
        <v>4</v>
      </c>
      <c r="BD150" s="7">
        <v>0.20524334548751555</v>
      </c>
      <c r="BE150" s="7" t="str">
        <f>"0"</f>
        <v>0</v>
      </c>
      <c r="BF150" t="str">
        <f ca="1">IF((OFFSET($A$1, 150 - 1, 56 - 1)) &gt;= (OFFSET($A$1, 92 - 1, 7 - 1)), "1","0")</f>
        <v>0</v>
      </c>
      <c r="BG150">
        <f ca="1" xml:space="preserve"> IF( AND( OFFSET($A$1, 150 - 1, 57 - 1) = "1", OFFSET($A$1, 150 - 1, 58 - 1) = "1" ), 1, IF( AND( OFFSET($A$1, 150 - 1, 57 - 1) = "1", OFFSET($A$1, 150 - 1, 58 - 1) = "0" ), 2, IF( AND( OFFSET($A$1, 150 - 1, 57 - 1) = "0", OFFSET($A$1, 150 - 1, 58 - 1) = "1" ), 3, 4 ) ) )</f>
        <v>4</v>
      </c>
    </row>
    <row r="151" spans="51:59" x14ac:dyDescent="0.25">
      <c r="AY151" s="7">
        <v>0.20524334548751555</v>
      </c>
      <c r="AZ151" s="7" t="str">
        <f>"0"</f>
        <v>0</v>
      </c>
      <c r="BA151" t="str">
        <f ca="1">IF((OFFSET($A$1, 151 - 1, 51 - 1)) &gt;= (OFFSET($A$1, 68 - 1, 7 - 1)), "1","0")</f>
        <v>0</v>
      </c>
      <c r="BB151">
        <f ca="1" xml:space="preserve"> IF( AND( OFFSET($A$1, 151 - 1, 52 - 1) = "1", OFFSET($A$1, 151 - 1, 53 - 1) = "1" ), 1, IF( AND( OFFSET($A$1, 151 - 1, 52 - 1) = "1", OFFSET($A$1, 151 - 1, 53 - 1) = "0" ), 2, IF( AND( OFFSET($A$1, 151 - 1, 52 - 1) = "0", OFFSET($A$1, 151 - 1, 53 - 1) = "1" ), 3, 4 ) ) )</f>
        <v>4</v>
      </c>
      <c r="BD151" s="7">
        <v>0.20524334548751555</v>
      </c>
      <c r="BE151" s="7" t="str">
        <f>"0"</f>
        <v>0</v>
      </c>
      <c r="BF151" t="str">
        <f ca="1">IF((OFFSET($A$1, 151 - 1, 56 - 1)) &gt;= (OFFSET($A$1, 92 - 1, 7 - 1)), "1","0")</f>
        <v>0</v>
      </c>
      <c r="BG151">
        <f ca="1" xml:space="preserve"> IF( AND( OFFSET($A$1, 151 - 1, 57 - 1) = "1", OFFSET($A$1, 151 - 1, 58 - 1) = "1" ), 1, IF( AND( OFFSET($A$1, 151 - 1, 57 - 1) = "1", OFFSET($A$1, 151 - 1, 58 - 1) = "0" ), 2, IF( AND( OFFSET($A$1, 151 - 1, 57 - 1) = "0", OFFSET($A$1, 151 - 1, 58 - 1) = "1" ), 3, 4 ) ) )</f>
        <v>4</v>
      </c>
    </row>
    <row r="152" spans="51:59" x14ac:dyDescent="0.25">
      <c r="AY152" s="7">
        <v>0.20524334548751555</v>
      </c>
      <c r="AZ152" s="7" t="str">
        <f>"0"</f>
        <v>0</v>
      </c>
      <c r="BA152" t="str">
        <f ca="1">IF((OFFSET($A$1, 152 - 1, 51 - 1)) &gt;= (OFFSET($A$1, 68 - 1, 7 - 1)), "1","0")</f>
        <v>0</v>
      </c>
      <c r="BB152">
        <f ca="1" xml:space="preserve"> IF( AND( OFFSET($A$1, 152 - 1, 52 - 1) = "1", OFFSET($A$1, 152 - 1, 53 - 1) = "1" ), 1, IF( AND( OFFSET($A$1, 152 - 1, 52 - 1) = "1", OFFSET($A$1, 152 - 1, 53 - 1) = "0" ), 2, IF( AND( OFFSET($A$1, 152 - 1, 52 - 1) = "0", OFFSET($A$1, 152 - 1, 53 - 1) = "1" ), 3, 4 ) ) )</f>
        <v>4</v>
      </c>
      <c r="BD152" s="7">
        <v>0.20524334548751555</v>
      </c>
      <c r="BE152" s="7" t="str">
        <f>"1"</f>
        <v>1</v>
      </c>
      <c r="BF152" t="str">
        <f ca="1">IF((OFFSET($A$1, 152 - 1, 56 - 1)) &gt;= (OFFSET($A$1, 92 - 1, 7 - 1)), "1","0")</f>
        <v>0</v>
      </c>
      <c r="BG152">
        <f ca="1" xml:space="preserve"> IF( AND( OFFSET($A$1, 152 - 1, 57 - 1) = "1", OFFSET($A$1, 152 - 1, 58 - 1) = "1" ), 1, IF( AND( OFFSET($A$1, 152 - 1, 57 - 1) = "1", OFFSET($A$1, 152 - 1, 58 - 1) = "0" ), 2, IF( AND( OFFSET($A$1, 152 - 1, 57 - 1) = "0", OFFSET($A$1, 152 - 1, 58 - 1) = "1" ), 3, 4 ) ) )</f>
        <v>2</v>
      </c>
    </row>
    <row r="153" spans="51:59" x14ac:dyDescent="0.25">
      <c r="AY153" s="7">
        <v>0.20524334548751555</v>
      </c>
      <c r="AZ153" s="7" t="str">
        <f>"1"</f>
        <v>1</v>
      </c>
      <c r="BA153" t="str">
        <f ca="1">IF((OFFSET($A$1, 153 - 1, 51 - 1)) &gt;= (OFFSET($A$1, 68 - 1, 7 - 1)), "1","0")</f>
        <v>0</v>
      </c>
      <c r="BB153">
        <f ca="1" xml:space="preserve"> IF( AND( OFFSET($A$1, 153 - 1, 52 - 1) = "1", OFFSET($A$1, 153 - 1, 53 - 1) = "1" ), 1, IF( AND( OFFSET($A$1, 153 - 1, 52 - 1) = "1", OFFSET($A$1, 153 - 1, 53 - 1) = "0" ), 2, IF( AND( OFFSET($A$1, 153 - 1, 52 - 1) = "0", OFFSET($A$1, 153 - 1, 53 - 1) = "1" ), 3, 4 ) ) )</f>
        <v>2</v>
      </c>
      <c r="BD153" s="7">
        <v>0.20524334548751555</v>
      </c>
      <c r="BE153" s="7" t="str">
        <f>"0"</f>
        <v>0</v>
      </c>
      <c r="BF153" t="str">
        <f ca="1">IF((OFFSET($A$1, 153 - 1, 56 - 1)) &gt;= (OFFSET($A$1, 92 - 1, 7 - 1)), "1","0")</f>
        <v>0</v>
      </c>
      <c r="BG153">
        <f ca="1" xml:space="preserve"> IF( AND( OFFSET($A$1, 153 - 1, 57 - 1) = "1", OFFSET($A$1, 153 - 1, 58 - 1) = "1" ), 1, IF( AND( OFFSET($A$1, 153 - 1, 57 - 1) = "1", OFFSET($A$1, 153 - 1, 58 - 1) = "0" ), 2, IF( AND( OFFSET($A$1, 153 - 1, 57 - 1) = "0", OFFSET($A$1, 153 - 1, 58 - 1) = "1" ), 3, 4 ) ) )</f>
        <v>4</v>
      </c>
    </row>
    <row r="154" spans="51:59" x14ac:dyDescent="0.25">
      <c r="AY154" s="7">
        <v>0.20524334548751555</v>
      </c>
      <c r="AZ154" s="7" t="str">
        <f>"0"</f>
        <v>0</v>
      </c>
      <c r="BA154" t="str">
        <f ca="1">IF((OFFSET($A$1, 154 - 1, 51 - 1)) &gt;= (OFFSET($A$1, 68 - 1, 7 - 1)), "1","0")</f>
        <v>0</v>
      </c>
      <c r="BB154">
        <f ca="1" xml:space="preserve"> IF( AND( OFFSET($A$1, 154 - 1, 52 - 1) = "1", OFFSET($A$1, 154 - 1, 53 - 1) = "1" ), 1, IF( AND( OFFSET($A$1, 154 - 1, 52 - 1) = "1", OFFSET($A$1, 154 - 1, 53 - 1) = "0" ), 2, IF( AND( OFFSET($A$1, 154 - 1, 52 - 1) = "0", OFFSET($A$1, 154 - 1, 53 - 1) = "1" ), 3, 4 ) ) )</f>
        <v>4</v>
      </c>
      <c r="BD154" s="7">
        <v>0.20524334548751555</v>
      </c>
      <c r="BE154" s="7" t="str">
        <f>"1"</f>
        <v>1</v>
      </c>
      <c r="BF154" t="str">
        <f ca="1">IF((OFFSET($A$1, 154 - 1, 56 - 1)) &gt;= (OFFSET($A$1, 92 - 1, 7 - 1)), "1","0")</f>
        <v>0</v>
      </c>
      <c r="BG154">
        <f ca="1" xml:space="preserve"> IF( AND( OFFSET($A$1, 154 - 1, 57 - 1) = "1", OFFSET($A$1, 154 - 1, 58 - 1) = "1" ), 1, IF( AND( OFFSET($A$1, 154 - 1, 57 - 1) = "1", OFFSET($A$1, 154 - 1, 58 - 1) = "0" ), 2, IF( AND( OFFSET($A$1, 154 - 1, 57 - 1) = "0", OFFSET($A$1, 154 - 1, 58 - 1) = "1" ), 3, 4 ) ) )</f>
        <v>2</v>
      </c>
    </row>
    <row r="155" spans="51:59" x14ac:dyDescent="0.25">
      <c r="AY155" s="7">
        <v>0.20524334548751555</v>
      </c>
      <c r="AZ155" s="7" t="str">
        <f>"0"</f>
        <v>0</v>
      </c>
      <c r="BA155" t="str">
        <f ca="1">IF((OFFSET($A$1, 155 - 1, 51 - 1)) &gt;= (OFFSET($A$1, 68 - 1, 7 - 1)), "1","0")</f>
        <v>0</v>
      </c>
      <c r="BB155">
        <f ca="1" xml:space="preserve"> IF( AND( OFFSET($A$1, 155 - 1, 52 - 1) = "1", OFFSET($A$1, 155 - 1, 53 - 1) = "1" ), 1, IF( AND( OFFSET($A$1, 155 - 1, 52 - 1) = "1", OFFSET($A$1, 155 - 1, 53 - 1) = "0" ), 2, IF( AND( OFFSET($A$1, 155 - 1, 52 - 1) = "0", OFFSET($A$1, 155 - 1, 53 - 1) = "1" ), 3, 4 ) ) )</f>
        <v>4</v>
      </c>
      <c r="BD155" s="7">
        <v>0.20524334548751555</v>
      </c>
      <c r="BE155" s="7" t="str">
        <f>"0"</f>
        <v>0</v>
      </c>
      <c r="BF155" t="str">
        <f ca="1">IF((OFFSET($A$1, 155 - 1, 56 - 1)) &gt;= (OFFSET($A$1, 92 - 1, 7 - 1)), "1","0")</f>
        <v>0</v>
      </c>
      <c r="BG155">
        <f ca="1" xml:space="preserve"> IF( AND( OFFSET($A$1, 155 - 1, 57 - 1) = "1", OFFSET($A$1, 155 - 1, 58 - 1) = "1" ), 1, IF( AND( OFFSET($A$1, 155 - 1, 57 - 1) = "1", OFFSET($A$1, 155 - 1, 58 - 1) = "0" ), 2, IF( AND( OFFSET($A$1, 155 - 1, 57 - 1) = "0", OFFSET($A$1, 155 - 1, 58 - 1) = "1" ), 3, 4 ) ) )</f>
        <v>4</v>
      </c>
    </row>
    <row r="156" spans="51:59" x14ac:dyDescent="0.25">
      <c r="AY156" s="7">
        <v>0.20524334548751555</v>
      </c>
      <c r="AZ156" s="7" t="str">
        <f>"0"</f>
        <v>0</v>
      </c>
      <c r="BA156" t="str">
        <f ca="1">IF((OFFSET($A$1, 156 - 1, 51 - 1)) &gt;= (OFFSET($A$1, 68 - 1, 7 - 1)), "1","0")</f>
        <v>0</v>
      </c>
      <c r="BB156">
        <f ca="1" xml:space="preserve"> IF( AND( OFFSET($A$1, 156 - 1, 52 - 1) = "1", OFFSET($A$1, 156 - 1, 53 - 1) = "1" ), 1, IF( AND( OFFSET($A$1, 156 - 1, 52 - 1) = "1", OFFSET($A$1, 156 - 1, 53 - 1) = "0" ), 2, IF( AND( OFFSET($A$1, 156 - 1, 52 - 1) = "0", OFFSET($A$1, 156 - 1, 53 - 1) = "1" ), 3, 4 ) ) )</f>
        <v>4</v>
      </c>
      <c r="BD156" s="7">
        <v>0.20524334548751555</v>
      </c>
      <c r="BE156" s="7" t="str">
        <f>"0"</f>
        <v>0</v>
      </c>
      <c r="BF156" t="str">
        <f ca="1">IF((OFFSET($A$1, 156 - 1, 56 - 1)) &gt;= (OFFSET($A$1, 92 - 1, 7 - 1)), "1","0")</f>
        <v>0</v>
      </c>
      <c r="BG156">
        <f ca="1" xml:space="preserve"> IF( AND( OFFSET($A$1, 156 - 1, 57 - 1) = "1", OFFSET($A$1, 156 - 1, 58 - 1) = "1" ), 1, IF( AND( OFFSET($A$1, 156 - 1, 57 - 1) = "1", OFFSET($A$1, 156 - 1, 58 - 1) = "0" ), 2, IF( AND( OFFSET($A$1, 156 - 1, 57 - 1) = "0", OFFSET($A$1, 156 - 1, 58 - 1) = "1" ), 3, 4 ) ) )</f>
        <v>4</v>
      </c>
    </row>
    <row r="157" spans="51:59" x14ac:dyDescent="0.25">
      <c r="AY157" s="7">
        <v>0.20524334548751555</v>
      </c>
      <c r="AZ157" s="7" t="str">
        <f>"0"</f>
        <v>0</v>
      </c>
      <c r="BA157" t="str">
        <f ca="1">IF((OFFSET($A$1, 157 - 1, 51 - 1)) &gt;= (OFFSET($A$1, 68 - 1, 7 - 1)), "1","0")</f>
        <v>0</v>
      </c>
      <c r="BB157">
        <f ca="1" xml:space="preserve"> IF( AND( OFFSET($A$1, 157 - 1, 52 - 1) = "1", OFFSET($A$1, 157 - 1, 53 - 1) = "1" ), 1, IF( AND( OFFSET($A$1, 157 - 1, 52 - 1) = "1", OFFSET($A$1, 157 - 1, 53 - 1) = "0" ), 2, IF( AND( OFFSET($A$1, 157 - 1, 52 - 1) = "0", OFFSET($A$1, 157 - 1, 53 - 1) = "1" ), 3, 4 ) ) )</f>
        <v>4</v>
      </c>
      <c r="BD157" s="7">
        <v>0.16903397659089944</v>
      </c>
      <c r="BE157" s="7" t="str">
        <f>"0"</f>
        <v>0</v>
      </c>
      <c r="BF157" t="str">
        <f ca="1">IF((OFFSET($A$1, 157 - 1, 56 - 1)) &gt;= (OFFSET($A$1, 92 - 1, 7 - 1)), "1","0")</f>
        <v>0</v>
      </c>
      <c r="BG157">
        <f ca="1" xml:space="preserve"> IF( AND( OFFSET($A$1, 157 - 1, 57 - 1) = "1", OFFSET($A$1, 157 - 1, 58 - 1) = "1" ), 1, IF( AND( OFFSET($A$1, 157 - 1, 57 - 1) = "1", OFFSET($A$1, 157 - 1, 58 - 1) = "0" ), 2, IF( AND( OFFSET($A$1, 157 - 1, 57 - 1) = "0", OFFSET($A$1, 157 - 1, 58 - 1) = "1" ), 3, 4 ) ) )</f>
        <v>4</v>
      </c>
    </row>
    <row r="158" spans="51:59" x14ac:dyDescent="0.25">
      <c r="AY158" s="7">
        <v>0.16903397659089944</v>
      </c>
      <c r="AZ158" s="7" t="str">
        <f>"1"</f>
        <v>1</v>
      </c>
      <c r="BA158" t="str">
        <f ca="1">IF((OFFSET($A$1, 158 - 1, 51 - 1)) &gt;= (OFFSET($A$1, 68 - 1, 7 - 1)), "1","0")</f>
        <v>0</v>
      </c>
      <c r="BB158">
        <f ca="1" xml:space="preserve"> IF( AND( OFFSET($A$1, 158 - 1, 52 - 1) = "1", OFFSET($A$1, 158 - 1, 53 - 1) = "1" ), 1, IF( AND( OFFSET($A$1, 158 - 1, 52 - 1) = "1", OFFSET($A$1, 158 - 1, 53 - 1) = "0" ), 2, IF( AND( OFFSET($A$1, 158 - 1, 52 - 1) = "0", OFFSET($A$1, 158 - 1, 53 - 1) = "1" ), 3, 4 ) ) )</f>
        <v>2</v>
      </c>
      <c r="BD158" s="7">
        <v>0.20524334548751555</v>
      </c>
      <c r="BE158" s="7" t="str">
        <f>"0"</f>
        <v>0</v>
      </c>
      <c r="BF158" t="str">
        <f ca="1">IF((OFFSET($A$1, 158 - 1, 56 - 1)) &gt;= (OFFSET($A$1, 92 - 1, 7 - 1)), "1","0")</f>
        <v>0</v>
      </c>
      <c r="BG158">
        <f ca="1" xml:space="preserve"> IF( AND( OFFSET($A$1, 158 - 1, 57 - 1) = "1", OFFSET($A$1, 158 - 1, 58 - 1) = "1" ), 1, IF( AND( OFFSET($A$1, 158 - 1, 57 - 1) = "1", OFFSET($A$1, 158 - 1, 58 - 1) = "0" ), 2, IF( AND( OFFSET($A$1, 158 - 1, 57 - 1) = "0", OFFSET($A$1, 158 - 1, 58 - 1) = "1" ), 3, 4 ) ) )</f>
        <v>4</v>
      </c>
    </row>
    <row r="159" spans="51:59" x14ac:dyDescent="0.25">
      <c r="AY159" s="7">
        <v>0.20524334548751555</v>
      </c>
      <c r="AZ159" s="7" t="str">
        <f>"0"</f>
        <v>0</v>
      </c>
      <c r="BA159" t="str">
        <f ca="1">IF((OFFSET($A$1, 159 - 1, 51 - 1)) &gt;= (OFFSET($A$1, 68 - 1, 7 - 1)), "1","0")</f>
        <v>0</v>
      </c>
      <c r="BB159">
        <f ca="1" xml:space="preserve"> IF( AND( OFFSET($A$1, 159 - 1, 52 - 1) = "1", OFFSET($A$1, 159 - 1, 53 - 1) = "1" ), 1, IF( AND( OFFSET($A$1, 159 - 1, 52 - 1) = "1", OFFSET($A$1, 159 - 1, 53 - 1) = "0" ), 2, IF( AND( OFFSET($A$1, 159 - 1, 52 - 1) = "0", OFFSET($A$1, 159 - 1, 53 - 1) = "1" ), 3, 4 ) ) )</f>
        <v>4</v>
      </c>
      <c r="BD159" s="7">
        <v>0.20524334548751555</v>
      </c>
      <c r="BE159" s="7" t="str">
        <f>"0"</f>
        <v>0</v>
      </c>
      <c r="BF159" t="str">
        <f ca="1">IF((OFFSET($A$1, 159 - 1, 56 - 1)) &gt;= (OFFSET($A$1, 92 - 1, 7 - 1)), "1","0")</f>
        <v>0</v>
      </c>
      <c r="BG159">
        <f ca="1" xml:space="preserve"> IF( AND( OFFSET($A$1, 159 - 1, 57 - 1) = "1", OFFSET($A$1, 159 - 1, 58 - 1) = "1" ), 1, IF( AND( OFFSET($A$1, 159 - 1, 57 - 1) = "1", OFFSET($A$1, 159 - 1, 58 - 1) = "0" ), 2, IF( AND( OFFSET($A$1, 159 - 1, 57 - 1) = "0", OFFSET($A$1, 159 - 1, 58 - 1) = "1" ), 3, 4 ) ) )</f>
        <v>4</v>
      </c>
    </row>
    <row r="160" spans="51:59" x14ac:dyDescent="0.25">
      <c r="AY160" s="7">
        <v>0.20524334548751555</v>
      </c>
      <c r="AZ160" s="7" t="str">
        <f>"0"</f>
        <v>0</v>
      </c>
      <c r="BA160" t="str">
        <f ca="1">IF((OFFSET($A$1, 160 - 1, 51 - 1)) &gt;= (OFFSET($A$1, 68 - 1, 7 - 1)), "1","0")</f>
        <v>0</v>
      </c>
      <c r="BB160">
        <f ca="1" xml:space="preserve"> IF( AND( OFFSET($A$1, 160 - 1, 52 - 1) = "1", OFFSET($A$1, 160 - 1, 53 - 1) = "1" ), 1, IF( AND( OFFSET($A$1, 160 - 1, 52 - 1) = "1", OFFSET($A$1, 160 - 1, 53 - 1) = "0" ), 2, IF( AND( OFFSET($A$1, 160 - 1, 52 - 1) = "0", OFFSET($A$1, 160 - 1, 53 - 1) = "1" ), 3, 4 ) ) )</f>
        <v>4</v>
      </c>
      <c r="BD160" s="7">
        <v>0.20524334548751555</v>
      </c>
      <c r="BE160" s="7" t="str">
        <f>"0"</f>
        <v>0</v>
      </c>
      <c r="BF160" t="str">
        <f ca="1">IF((OFFSET($A$1, 160 - 1, 56 - 1)) &gt;= (OFFSET($A$1, 92 - 1, 7 - 1)), "1","0")</f>
        <v>0</v>
      </c>
      <c r="BG160">
        <f ca="1" xml:space="preserve"> IF( AND( OFFSET($A$1, 160 - 1, 57 - 1) = "1", OFFSET($A$1, 160 - 1, 58 - 1) = "1" ), 1, IF( AND( OFFSET($A$1, 160 - 1, 57 - 1) = "1", OFFSET($A$1, 160 - 1, 58 - 1) = "0" ), 2, IF( AND( OFFSET($A$1, 160 - 1, 57 - 1) = "0", OFFSET($A$1, 160 - 1, 58 - 1) = "1" ), 3, 4 ) ) )</f>
        <v>4</v>
      </c>
    </row>
    <row r="161" spans="51:59" x14ac:dyDescent="0.25">
      <c r="AY161" s="7">
        <v>0.20524334548751555</v>
      </c>
      <c r="AZ161" s="7" t="str">
        <f>"0"</f>
        <v>0</v>
      </c>
      <c r="BA161" t="str">
        <f ca="1">IF((OFFSET($A$1, 161 - 1, 51 - 1)) &gt;= (OFFSET($A$1, 68 - 1, 7 - 1)), "1","0")</f>
        <v>0</v>
      </c>
      <c r="BB161">
        <f ca="1" xml:space="preserve"> IF( AND( OFFSET($A$1, 161 - 1, 52 - 1) = "1", OFFSET($A$1, 161 - 1, 53 - 1) = "1" ), 1, IF( AND( OFFSET($A$1, 161 - 1, 52 - 1) = "1", OFFSET($A$1, 161 - 1, 53 - 1) = "0" ), 2, IF( AND( OFFSET($A$1, 161 - 1, 52 - 1) = "0", OFFSET($A$1, 161 - 1, 53 - 1) = "1" ), 3, 4 ) ) )</f>
        <v>4</v>
      </c>
      <c r="BD161" s="7">
        <v>0.16903397659089944</v>
      </c>
      <c r="BE161" s="7" t="str">
        <f>"1"</f>
        <v>1</v>
      </c>
      <c r="BF161" t="str">
        <f ca="1">IF((OFFSET($A$1, 161 - 1, 56 - 1)) &gt;= (OFFSET($A$1, 92 - 1, 7 - 1)), "1","0")</f>
        <v>0</v>
      </c>
      <c r="BG161">
        <f ca="1" xml:space="preserve"> IF( AND( OFFSET($A$1, 161 - 1, 57 - 1) = "1", OFFSET($A$1, 161 - 1, 58 - 1) = "1" ), 1, IF( AND( OFFSET($A$1, 161 - 1, 57 - 1) = "1", OFFSET($A$1, 161 - 1, 58 - 1) = "0" ), 2, IF( AND( OFFSET($A$1, 161 - 1, 57 - 1) = "0", OFFSET($A$1, 161 - 1, 58 - 1) = "1" ), 3, 4 ) ) )</f>
        <v>2</v>
      </c>
    </row>
    <row r="162" spans="51:59" x14ac:dyDescent="0.25">
      <c r="AY162" s="7">
        <v>0.20524334548751555</v>
      </c>
      <c r="AZ162" s="7" t="str">
        <f>"1"</f>
        <v>1</v>
      </c>
      <c r="BA162" t="str">
        <f ca="1">IF((OFFSET($A$1, 162 - 1, 51 - 1)) &gt;= (OFFSET($A$1, 68 - 1, 7 - 1)), "1","0")</f>
        <v>0</v>
      </c>
      <c r="BB162">
        <f ca="1" xml:space="preserve"> IF( AND( OFFSET($A$1, 162 - 1, 52 - 1) = "1", OFFSET($A$1, 162 - 1, 53 - 1) = "1" ), 1, IF( AND( OFFSET($A$1, 162 - 1, 52 - 1) = "1", OFFSET($A$1, 162 - 1, 53 - 1) = "0" ), 2, IF( AND( OFFSET($A$1, 162 - 1, 52 - 1) = "0", OFFSET($A$1, 162 - 1, 53 - 1) = "1" ), 3, 4 ) ) )</f>
        <v>2</v>
      </c>
      <c r="BD162" s="7">
        <v>0.20524334548751555</v>
      </c>
      <c r="BE162" s="7" t="str">
        <f>"0"</f>
        <v>0</v>
      </c>
      <c r="BF162" t="str">
        <f ca="1">IF((OFFSET($A$1, 162 - 1, 56 - 1)) &gt;= (OFFSET($A$1, 92 - 1, 7 - 1)), "1","0")</f>
        <v>0</v>
      </c>
      <c r="BG162">
        <f ca="1" xml:space="preserve"> IF( AND( OFFSET($A$1, 162 - 1, 57 - 1) = "1", OFFSET($A$1, 162 - 1, 58 - 1) = "1" ), 1, IF( AND( OFFSET($A$1, 162 - 1, 57 - 1) = "1", OFFSET($A$1, 162 - 1, 58 - 1) = "0" ), 2, IF( AND( OFFSET($A$1, 162 - 1, 57 - 1) = "0", OFFSET($A$1, 162 - 1, 58 - 1) = "1" ), 3, 4 ) ) )</f>
        <v>4</v>
      </c>
    </row>
    <row r="163" spans="51:59" x14ac:dyDescent="0.25">
      <c r="AY163" s="7">
        <v>0.20524334548751555</v>
      </c>
      <c r="AZ163" s="7" t="str">
        <f>"0"</f>
        <v>0</v>
      </c>
      <c r="BA163" t="str">
        <f ca="1">IF((OFFSET($A$1, 163 - 1, 51 - 1)) &gt;= (OFFSET($A$1, 68 - 1, 7 - 1)), "1","0")</f>
        <v>0</v>
      </c>
      <c r="BB163">
        <f ca="1" xml:space="preserve"> IF( AND( OFFSET($A$1, 163 - 1, 52 - 1) = "1", OFFSET($A$1, 163 - 1, 53 - 1) = "1" ), 1, IF( AND( OFFSET($A$1, 163 - 1, 52 - 1) = "1", OFFSET($A$1, 163 - 1, 53 - 1) = "0" ), 2, IF( AND( OFFSET($A$1, 163 - 1, 52 - 1) = "0", OFFSET($A$1, 163 - 1, 53 - 1) = "1" ), 3, 4 ) ) )</f>
        <v>4</v>
      </c>
      <c r="BD163" s="7">
        <v>0.20524334548751555</v>
      </c>
      <c r="BE163" s="7" t="str">
        <f>"0"</f>
        <v>0</v>
      </c>
      <c r="BF163" t="str">
        <f ca="1">IF((OFFSET($A$1, 163 - 1, 56 - 1)) &gt;= (OFFSET($A$1, 92 - 1, 7 - 1)), "1","0")</f>
        <v>0</v>
      </c>
      <c r="BG163">
        <f ca="1" xml:space="preserve"> IF( AND( OFFSET($A$1, 163 - 1, 57 - 1) = "1", OFFSET($A$1, 163 - 1, 58 - 1) = "1" ), 1, IF( AND( OFFSET($A$1, 163 - 1, 57 - 1) = "1", OFFSET($A$1, 163 - 1, 58 - 1) = "0" ), 2, IF( AND( OFFSET($A$1, 163 - 1, 57 - 1) = "0", OFFSET($A$1, 163 - 1, 58 - 1) = "1" ), 3, 4 ) ) )</f>
        <v>4</v>
      </c>
    </row>
    <row r="164" spans="51:59" x14ac:dyDescent="0.25">
      <c r="AY164" s="7">
        <v>0.20524334548751555</v>
      </c>
      <c r="AZ164" s="7" t="str">
        <f>"0"</f>
        <v>0</v>
      </c>
      <c r="BA164" t="str">
        <f ca="1">IF((OFFSET($A$1, 164 - 1, 51 - 1)) &gt;= (OFFSET($A$1, 68 - 1, 7 - 1)), "1","0")</f>
        <v>0</v>
      </c>
      <c r="BB164">
        <f ca="1" xml:space="preserve"> IF( AND( OFFSET($A$1, 164 - 1, 52 - 1) = "1", OFFSET($A$1, 164 - 1, 53 - 1) = "1" ), 1, IF( AND( OFFSET($A$1, 164 - 1, 52 - 1) = "1", OFFSET($A$1, 164 - 1, 53 - 1) = "0" ), 2, IF( AND( OFFSET($A$1, 164 - 1, 52 - 1) = "0", OFFSET($A$1, 164 - 1, 53 - 1) = "1" ), 3, 4 ) ) )</f>
        <v>4</v>
      </c>
      <c r="BD164" s="7">
        <v>0.20524334548751555</v>
      </c>
      <c r="BE164" s="7" t="str">
        <f>"1"</f>
        <v>1</v>
      </c>
      <c r="BF164" t="str">
        <f ca="1">IF((OFFSET($A$1, 164 - 1, 56 - 1)) &gt;= (OFFSET($A$1, 92 - 1, 7 - 1)), "1","0")</f>
        <v>0</v>
      </c>
      <c r="BG164">
        <f ca="1" xml:space="preserve"> IF( AND( OFFSET($A$1, 164 - 1, 57 - 1) = "1", OFFSET($A$1, 164 - 1, 58 - 1) = "1" ), 1, IF( AND( OFFSET($A$1, 164 - 1, 57 - 1) = "1", OFFSET($A$1, 164 - 1, 58 - 1) = "0" ), 2, IF( AND( OFFSET($A$1, 164 - 1, 57 - 1) = "0", OFFSET($A$1, 164 - 1, 58 - 1) = "1" ), 3, 4 ) ) )</f>
        <v>2</v>
      </c>
    </row>
    <row r="165" spans="51:59" x14ac:dyDescent="0.25">
      <c r="AY165" s="7">
        <v>0.20524334548751555</v>
      </c>
      <c r="AZ165" s="7" t="str">
        <f>"0"</f>
        <v>0</v>
      </c>
      <c r="BA165" t="str">
        <f ca="1">IF((OFFSET($A$1, 165 - 1, 51 - 1)) &gt;= (OFFSET($A$1, 68 - 1, 7 - 1)), "1","0")</f>
        <v>0</v>
      </c>
      <c r="BB165">
        <f ca="1" xml:space="preserve"> IF( AND( OFFSET($A$1, 165 - 1, 52 - 1) = "1", OFFSET($A$1, 165 - 1, 53 - 1) = "1" ), 1, IF( AND( OFFSET($A$1, 165 - 1, 52 - 1) = "1", OFFSET($A$1, 165 - 1, 53 - 1) = "0" ), 2, IF( AND( OFFSET($A$1, 165 - 1, 52 - 1) = "0", OFFSET($A$1, 165 - 1, 53 - 1) = "1" ), 3, 4 ) ) )</f>
        <v>4</v>
      </c>
      <c r="BD165" s="7">
        <v>0.16903397659089944</v>
      </c>
      <c r="BE165" s="7" t="str">
        <f>"0"</f>
        <v>0</v>
      </c>
      <c r="BF165" t="str">
        <f ca="1">IF((OFFSET($A$1, 165 - 1, 56 - 1)) &gt;= (OFFSET($A$1, 92 - 1, 7 - 1)), "1","0")</f>
        <v>0</v>
      </c>
      <c r="BG165">
        <f ca="1" xml:space="preserve"> IF( AND( OFFSET($A$1, 165 - 1, 57 - 1) = "1", OFFSET($A$1, 165 - 1, 58 - 1) = "1" ), 1, IF( AND( OFFSET($A$1, 165 - 1, 57 - 1) = "1", OFFSET($A$1, 165 - 1, 58 - 1) = "0" ), 2, IF( AND( OFFSET($A$1, 165 - 1, 57 - 1) = "0", OFFSET($A$1, 165 - 1, 58 - 1) = "1" ), 3, 4 ) ) )</f>
        <v>4</v>
      </c>
    </row>
    <row r="166" spans="51:59" x14ac:dyDescent="0.25">
      <c r="AY166" s="7">
        <v>0.16903397659089944</v>
      </c>
      <c r="AZ166" s="7" t="str">
        <f>"0"</f>
        <v>0</v>
      </c>
      <c r="BA166" t="str">
        <f ca="1">IF((OFFSET($A$1, 166 - 1, 51 - 1)) &gt;= (OFFSET($A$1, 68 - 1, 7 - 1)), "1","0")</f>
        <v>0</v>
      </c>
      <c r="BB166">
        <f ca="1" xml:space="preserve"> IF( AND( OFFSET($A$1, 166 - 1, 52 - 1) = "1", OFFSET($A$1, 166 - 1, 53 - 1) = "1" ), 1, IF( AND( OFFSET($A$1, 166 - 1, 52 - 1) = "1", OFFSET($A$1, 166 - 1, 53 - 1) = "0" ), 2, IF( AND( OFFSET($A$1, 166 - 1, 52 - 1) = "0", OFFSET($A$1, 166 - 1, 53 - 1) = "1" ), 3, 4 ) ) )</f>
        <v>4</v>
      </c>
      <c r="BD166" s="7">
        <v>0.16903397659089944</v>
      </c>
      <c r="BE166" s="7" t="str">
        <f>"1"</f>
        <v>1</v>
      </c>
      <c r="BF166" t="str">
        <f ca="1">IF((OFFSET($A$1, 166 - 1, 56 - 1)) &gt;= (OFFSET($A$1, 92 - 1, 7 - 1)), "1","0")</f>
        <v>0</v>
      </c>
      <c r="BG166">
        <f ca="1" xml:space="preserve"> IF( AND( OFFSET($A$1, 166 - 1, 57 - 1) = "1", OFFSET($A$1, 166 - 1, 58 - 1) = "1" ), 1, IF( AND( OFFSET($A$1, 166 - 1, 57 - 1) = "1", OFFSET($A$1, 166 - 1, 58 - 1) = "0" ), 2, IF( AND( OFFSET($A$1, 166 - 1, 57 - 1) = "0", OFFSET($A$1, 166 - 1, 58 - 1) = "1" ), 3, 4 ) ) )</f>
        <v>2</v>
      </c>
    </row>
    <row r="167" spans="51:59" x14ac:dyDescent="0.25">
      <c r="AY167" s="7">
        <v>0.20524334548751555</v>
      </c>
      <c r="AZ167" s="7" t="str">
        <f>"1"</f>
        <v>1</v>
      </c>
      <c r="BA167" t="str">
        <f ca="1">IF((OFFSET($A$1, 167 - 1, 51 - 1)) &gt;= (OFFSET($A$1, 68 - 1, 7 - 1)), "1","0")</f>
        <v>0</v>
      </c>
      <c r="BB167">
        <f ca="1" xml:space="preserve"> IF( AND( OFFSET($A$1, 167 - 1, 52 - 1) = "1", OFFSET($A$1, 167 - 1, 53 - 1) = "1" ), 1, IF( AND( OFFSET($A$1, 167 - 1, 52 - 1) = "1", OFFSET($A$1, 167 - 1, 53 - 1) = "0" ), 2, IF( AND( OFFSET($A$1, 167 - 1, 52 - 1) = "0", OFFSET($A$1, 167 - 1, 53 - 1) = "1" ), 3, 4 ) ) )</f>
        <v>2</v>
      </c>
      <c r="BD167" s="7">
        <v>0.20524334548751555</v>
      </c>
      <c r="BE167" s="7" t="str">
        <f>"0"</f>
        <v>0</v>
      </c>
      <c r="BF167" t="str">
        <f ca="1">IF((OFFSET($A$1, 167 - 1, 56 - 1)) &gt;= (OFFSET($A$1, 92 - 1, 7 - 1)), "1","0")</f>
        <v>0</v>
      </c>
      <c r="BG167">
        <f ca="1" xml:space="preserve"> IF( AND( OFFSET($A$1, 167 - 1, 57 - 1) = "1", OFFSET($A$1, 167 - 1, 58 - 1) = "1" ), 1, IF( AND( OFFSET($A$1, 167 - 1, 57 - 1) = "1", OFFSET($A$1, 167 - 1, 58 - 1) = "0" ), 2, IF( AND( OFFSET($A$1, 167 - 1, 57 - 1) = "0", OFFSET($A$1, 167 - 1, 58 - 1) = "1" ), 3, 4 ) ) )</f>
        <v>4</v>
      </c>
    </row>
    <row r="168" spans="51:59" x14ac:dyDescent="0.25">
      <c r="AY168" s="7">
        <v>0.20524334548751555</v>
      </c>
      <c r="AZ168" s="7" t="str">
        <f>"1"</f>
        <v>1</v>
      </c>
      <c r="BA168" t="str">
        <f ca="1">IF((OFFSET($A$1, 168 - 1, 51 - 1)) &gt;= (OFFSET($A$1, 68 - 1, 7 - 1)), "1","0")</f>
        <v>0</v>
      </c>
      <c r="BB168">
        <f ca="1" xml:space="preserve"> IF( AND( OFFSET($A$1, 168 - 1, 52 - 1) = "1", OFFSET($A$1, 168 - 1, 53 - 1) = "1" ), 1, IF( AND( OFFSET($A$1, 168 - 1, 52 - 1) = "1", OFFSET($A$1, 168 - 1, 53 - 1) = "0" ), 2, IF( AND( OFFSET($A$1, 168 - 1, 52 - 1) = "0", OFFSET($A$1, 168 - 1, 53 - 1) = "1" ), 3, 4 ) ) )</f>
        <v>2</v>
      </c>
      <c r="BD168" s="7">
        <v>0.20524334548751555</v>
      </c>
      <c r="BE168" s="7" t="str">
        <f>"1"</f>
        <v>1</v>
      </c>
      <c r="BF168" t="str">
        <f ca="1">IF((OFFSET($A$1, 168 - 1, 56 - 1)) &gt;= (OFFSET($A$1, 92 - 1, 7 - 1)), "1","0")</f>
        <v>0</v>
      </c>
      <c r="BG168">
        <f ca="1" xml:space="preserve"> IF( AND( OFFSET($A$1, 168 - 1, 57 - 1) = "1", OFFSET($A$1, 168 - 1, 58 - 1) = "1" ), 1, IF( AND( OFFSET($A$1, 168 - 1, 57 - 1) = "1", OFFSET($A$1, 168 - 1, 58 - 1) = "0" ), 2, IF( AND( OFFSET($A$1, 168 - 1, 57 - 1) = "0", OFFSET($A$1, 168 - 1, 58 - 1) = "1" ), 3, 4 ) ) )</f>
        <v>2</v>
      </c>
    </row>
    <row r="169" spans="51:59" x14ac:dyDescent="0.25">
      <c r="AY169" s="7">
        <v>0.16903397659089944</v>
      </c>
      <c r="AZ169" s="7" t="str">
        <f>"0"</f>
        <v>0</v>
      </c>
      <c r="BA169" t="str">
        <f ca="1">IF((OFFSET($A$1, 169 - 1, 51 - 1)) &gt;= (OFFSET($A$1, 68 - 1, 7 - 1)), "1","0")</f>
        <v>0</v>
      </c>
      <c r="BB169">
        <f ca="1" xml:space="preserve"> IF( AND( OFFSET($A$1, 169 - 1, 52 - 1) = "1", OFFSET($A$1, 169 - 1, 53 - 1) = "1" ), 1, IF( AND( OFFSET($A$1, 169 - 1, 52 - 1) = "1", OFFSET($A$1, 169 - 1, 53 - 1) = "0" ), 2, IF( AND( OFFSET($A$1, 169 - 1, 52 - 1) = "0", OFFSET($A$1, 169 - 1, 53 - 1) = "1" ), 3, 4 ) ) )</f>
        <v>4</v>
      </c>
      <c r="BD169" s="7">
        <v>0.20524334548751555</v>
      </c>
      <c r="BE169" s="7" t="str">
        <f>"0"</f>
        <v>0</v>
      </c>
      <c r="BF169" t="str">
        <f ca="1">IF((OFFSET($A$1, 169 - 1, 56 - 1)) &gt;= (OFFSET($A$1, 92 - 1, 7 - 1)), "1","0")</f>
        <v>0</v>
      </c>
      <c r="BG169">
        <f ca="1" xml:space="preserve"> IF( AND( OFFSET($A$1, 169 - 1, 57 - 1) = "1", OFFSET($A$1, 169 - 1, 58 - 1) = "1" ), 1, IF( AND( OFFSET($A$1, 169 - 1, 57 - 1) = "1", OFFSET($A$1, 169 - 1, 58 - 1) = "0" ), 2, IF( AND( OFFSET($A$1, 169 - 1, 57 - 1) = "0", OFFSET($A$1, 169 - 1, 58 - 1) = "1" ), 3, 4 ) ) )</f>
        <v>4</v>
      </c>
    </row>
    <row r="170" spans="51:59" x14ac:dyDescent="0.25">
      <c r="AY170" s="7">
        <v>0.20524334548751555</v>
      </c>
      <c r="AZ170" s="7" t="str">
        <f>"0"</f>
        <v>0</v>
      </c>
      <c r="BA170" t="str">
        <f ca="1">IF((OFFSET($A$1, 170 - 1, 51 - 1)) &gt;= (OFFSET($A$1, 68 - 1, 7 - 1)), "1","0")</f>
        <v>0</v>
      </c>
      <c r="BB170">
        <f ca="1" xml:space="preserve"> IF( AND( OFFSET($A$1, 170 - 1, 52 - 1) = "1", OFFSET($A$1, 170 - 1, 53 - 1) = "1" ), 1, IF( AND( OFFSET($A$1, 170 - 1, 52 - 1) = "1", OFFSET($A$1, 170 - 1, 53 - 1) = "0" ), 2, IF( AND( OFFSET($A$1, 170 - 1, 52 - 1) = "0", OFFSET($A$1, 170 - 1, 53 - 1) = "1" ), 3, 4 ) ) )</f>
        <v>4</v>
      </c>
      <c r="BD170" s="7">
        <v>0.20524334548751555</v>
      </c>
      <c r="BE170" s="7" t="str">
        <f>"0"</f>
        <v>0</v>
      </c>
      <c r="BF170" t="str">
        <f ca="1">IF((OFFSET($A$1, 170 - 1, 56 - 1)) &gt;= (OFFSET($A$1, 92 - 1, 7 - 1)), "1","0")</f>
        <v>0</v>
      </c>
      <c r="BG170">
        <f ca="1" xml:space="preserve"> IF( AND( OFFSET($A$1, 170 - 1, 57 - 1) = "1", OFFSET($A$1, 170 - 1, 58 - 1) = "1" ), 1, IF( AND( OFFSET($A$1, 170 - 1, 57 - 1) = "1", OFFSET($A$1, 170 - 1, 58 - 1) = "0" ), 2, IF( AND( OFFSET($A$1, 170 - 1, 57 - 1) = "0", OFFSET($A$1, 170 - 1, 58 - 1) = "1" ), 3, 4 ) ) )</f>
        <v>4</v>
      </c>
    </row>
    <row r="171" spans="51:59" x14ac:dyDescent="0.25">
      <c r="AY171" s="7">
        <v>0.16903397659089944</v>
      </c>
      <c r="AZ171" s="7" t="str">
        <f>"0"</f>
        <v>0</v>
      </c>
      <c r="BA171" t="str">
        <f ca="1">IF((OFFSET($A$1, 171 - 1, 51 - 1)) &gt;= (OFFSET($A$1, 68 - 1, 7 - 1)), "1","0")</f>
        <v>0</v>
      </c>
      <c r="BB171">
        <f ca="1" xml:space="preserve"> IF( AND( OFFSET($A$1, 171 - 1, 52 - 1) = "1", OFFSET($A$1, 171 - 1, 53 - 1) = "1" ), 1, IF( AND( OFFSET($A$1, 171 - 1, 52 - 1) = "1", OFFSET($A$1, 171 - 1, 53 - 1) = "0" ), 2, IF( AND( OFFSET($A$1, 171 - 1, 52 - 1) = "0", OFFSET($A$1, 171 - 1, 53 - 1) = "1" ), 3, 4 ) ) )</f>
        <v>4</v>
      </c>
      <c r="BD171" s="7">
        <v>0.20524334548751555</v>
      </c>
      <c r="BE171" s="7" t="str">
        <f>"1"</f>
        <v>1</v>
      </c>
      <c r="BF171" t="str">
        <f ca="1">IF((OFFSET($A$1, 171 - 1, 56 - 1)) &gt;= (OFFSET($A$1, 92 - 1, 7 - 1)), "1","0")</f>
        <v>0</v>
      </c>
      <c r="BG171">
        <f ca="1" xml:space="preserve"> IF( AND( OFFSET($A$1, 171 - 1, 57 - 1) = "1", OFFSET($A$1, 171 - 1, 58 - 1) = "1" ), 1, IF( AND( OFFSET($A$1, 171 - 1, 57 - 1) = "1", OFFSET($A$1, 171 - 1, 58 - 1) = "0" ), 2, IF( AND( OFFSET($A$1, 171 - 1, 57 - 1) = "0", OFFSET($A$1, 171 - 1, 58 - 1) = "1" ), 3, 4 ) ) )</f>
        <v>2</v>
      </c>
    </row>
    <row r="172" spans="51:59" x14ac:dyDescent="0.25">
      <c r="AY172" s="7">
        <v>0.16903397659089944</v>
      </c>
      <c r="AZ172" s="7" t="str">
        <f>"1"</f>
        <v>1</v>
      </c>
      <c r="BA172" t="str">
        <f ca="1">IF((OFFSET($A$1, 172 - 1, 51 - 1)) &gt;= (OFFSET($A$1, 68 - 1, 7 - 1)), "1","0")</f>
        <v>0</v>
      </c>
      <c r="BB172">
        <f ca="1" xml:space="preserve"> IF( AND( OFFSET($A$1, 172 - 1, 52 - 1) = "1", OFFSET($A$1, 172 - 1, 53 - 1) = "1" ), 1, IF( AND( OFFSET($A$1, 172 - 1, 52 - 1) = "1", OFFSET($A$1, 172 - 1, 53 - 1) = "0" ), 2, IF( AND( OFFSET($A$1, 172 - 1, 52 - 1) = "0", OFFSET($A$1, 172 - 1, 53 - 1) = "1" ), 3, 4 ) ) )</f>
        <v>2</v>
      </c>
      <c r="BD172" s="7">
        <v>0.20524334548751555</v>
      </c>
      <c r="BE172" s="7" t="str">
        <f>"0"</f>
        <v>0</v>
      </c>
      <c r="BF172" t="str">
        <f ca="1">IF((OFFSET($A$1, 172 - 1, 56 - 1)) &gt;= (OFFSET($A$1, 92 - 1, 7 - 1)), "1","0")</f>
        <v>0</v>
      </c>
      <c r="BG172">
        <f ca="1" xml:space="preserve"> IF( AND( OFFSET($A$1, 172 - 1, 57 - 1) = "1", OFFSET($A$1, 172 - 1, 58 - 1) = "1" ), 1, IF( AND( OFFSET($A$1, 172 - 1, 57 - 1) = "1", OFFSET($A$1, 172 - 1, 58 - 1) = "0" ), 2, IF( AND( OFFSET($A$1, 172 - 1, 57 - 1) = "0", OFFSET($A$1, 172 - 1, 58 - 1) = "1" ), 3, 4 ) ) )</f>
        <v>4</v>
      </c>
    </row>
    <row r="173" spans="51:59" x14ac:dyDescent="0.25">
      <c r="AY173" s="7">
        <v>0.20524334548751555</v>
      </c>
      <c r="AZ173" s="7" t="str">
        <f>"0"</f>
        <v>0</v>
      </c>
      <c r="BA173" t="str">
        <f ca="1">IF((OFFSET($A$1, 173 - 1, 51 - 1)) &gt;= (OFFSET($A$1, 68 - 1, 7 - 1)), "1","0")</f>
        <v>0</v>
      </c>
      <c r="BB173">
        <f ca="1" xml:space="preserve"> IF( AND( OFFSET($A$1, 173 - 1, 52 - 1) = "1", OFFSET($A$1, 173 - 1, 53 - 1) = "1" ), 1, IF( AND( OFFSET($A$1, 173 - 1, 52 - 1) = "1", OFFSET($A$1, 173 - 1, 53 - 1) = "0" ), 2, IF( AND( OFFSET($A$1, 173 - 1, 52 - 1) = "0", OFFSET($A$1, 173 - 1, 53 - 1) = "1" ), 3, 4 ) ) )</f>
        <v>4</v>
      </c>
      <c r="BD173" s="7">
        <v>0.20524334548751555</v>
      </c>
      <c r="BE173" s="7" t="str">
        <f>"0"</f>
        <v>0</v>
      </c>
      <c r="BF173" t="str">
        <f ca="1">IF((OFFSET($A$1, 173 - 1, 56 - 1)) &gt;= (OFFSET($A$1, 92 - 1, 7 - 1)), "1","0")</f>
        <v>0</v>
      </c>
      <c r="BG173">
        <f ca="1" xml:space="preserve"> IF( AND( OFFSET($A$1, 173 - 1, 57 - 1) = "1", OFFSET($A$1, 173 - 1, 58 - 1) = "1" ), 1, IF( AND( OFFSET($A$1, 173 - 1, 57 - 1) = "1", OFFSET($A$1, 173 - 1, 58 - 1) = "0" ), 2, IF( AND( OFFSET($A$1, 173 - 1, 57 - 1) = "0", OFFSET($A$1, 173 - 1, 58 - 1) = "1" ), 3, 4 ) ) )</f>
        <v>4</v>
      </c>
    </row>
    <row r="174" spans="51:59" x14ac:dyDescent="0.25">
      <c r="AY174" s="7">
        <v>0.20524334548751555</v>
      </c>
      <c r="AZ174" s="7" t="str">
        <f>"0"</f>
        <v>0</v>
      </c>
      <c r="BA174" t="str">
        <f ca="1">IF((OFFSET($A$1, 174 - 1, 51 - 1)) &gt;= (OFFSET($A$1, 68 - 1, 7 - 1)), "1","0")</f>
        <v>0</v>
      </c>
      <c r="BB174">
        <f ca="1" xml:space="preserve"> IF( AND( OFFSET($A$1, 174 - 1, 52 - 1) = "1", OFFSET($A$1, 174 - 1, 53 - 1) = "1" ), 1, IF( AND( OFFSET($A$1, 174 - 1, 52 - 1) = "1", OFFSET($A$1, 174 - 1, 53 - 1) = "0" ), 2, IF( AND( OFFSET($A$1, 174 - 1, 52 - 1) = "0", OFFSET($A$1, 174 - 1, 53 - 1) = "1" ), 3, 4 ) ) )</f>
        <v>4</v>
      </c>
      <c r="BD174" s="7">
        <v>0.16903397659089944</v>
      </c>
      <c r="BE174" s="7" t="str">
        <f>"1"</f>
        <v>1</v>
      </c>
      <c r="BF174" t="str">
        <f ca="1">IF((OFFSET($A$1, 174 - 1, 56 - 1)) &gt;= (OFFSET($A$1, 92 - 1, 7 - 1)), "1","0")</f>
        <v>0</v>
      </c>
      <c r="BG174">
        <f ca="1" xml:space="preserve"> IF( AND( OFFSET($A$1, 174 - 1, 57 - 1) = "1", OFFSET($A$1, 174 - 1, 58 - 1) = "1" ), 1, IF( AND( OFFSET($A$1, 174 - 1, 57 - 1) = "1", OFFSET($A$1, 174 - 1, 58 - 1) = "0" ), 2, IF( AND( OFFSET($A$1, 174 - 1, 57 - 1) = "0", OFFSET($A$1, 174 - 1, 58 - 1) = "1" ), 3, 4 ) ) )</f>
        <v>2</v>
      </c>
    </row>
    <row r="175" spans="51:59" x14ac:dyDescent="0.25">
      <c r="AY175" s="7">
        <v>0.20524334548751555</v>
      </c>
      <c r="AZ175" s="7" t="str">
        <f>"0"</f>
        <v>0</v>
      </c>
      <c r="BA175" t="str">
        <f ca="1">IF((OFFSET($A$1, 175 - 1, 51 - 1)) &gt;= (OFFSET($A$1, 68 - 1, 7 - 1)), "1","0")</f>
        <v>0</v>
      </c>
      <c r="BB175">
        <f ca="1" xml:space="preserve"> IF( AND( OFFSET($A$1, 175 - 1, 52 - 1) = "1", OFFSET($A$1, 175 - 1, 53 - 1) = "1" ), 1, IF( AND( OFFSET($A$1, 175 - 1, 52 - 1) = "1", OFFSET($A$1, 175 - 1, 53 - 1) = "0" ), 2, IF( AND( OFFSET($A$1, 175 - 1, 52 - 1) = "0", OFFSET($A$1, 175 - 1, 53 - 1) = "1" ), 3, 4 ) ) )</f>
        <v>4</v>
      </c>
      <c r="BD175" s="7">
        <v>0.20524334548751555</v>
      </c>
      <c r="BE175" s="7" t="str">
        <f>"1"</f>
        <v>1</v>
      </c>
      <c r="BF175" t="str">
        <f ca="1">IF((OFFSET($A$1, 175 - 1, 56 - 1)) &gt;= (OFFSET($A$1, 92 - 1, 7 - 1)), "1","0")</f>
        <v>0</v>
      </c>
      <c r="BG175">
        <f ca="1" xml:space="preserve"> IF( AND( OFFSET($A$1, 175 - 1, 57 - 1) = "1", OFFSET($A$1, 175 - 1, 58 - 1) = "1" ), 1, IF( AND( OFFSET($A$1, 175 - 1, 57 - 1) = "1", OFFSET($A$1, 175 - 1, 58 - 1) = "0" ), 2, IF( AND( OFFSET($A$1, 175 - 1, 57 - 1) = "0", OFFSET($A$1, 175 - 1, 58 - 1) = "1" ), 3, 4 ) ) )</f>
        <v>2</v>
      </c>
    </row>
    <row r="176" spans="51:59" x14ac:dyDescent="0.25">
      <c r="AY176" s="7">
        <v>0.16903397659089944</v>
      </c>
      <c r="AZ176" s="7" t="str">
        <f>"0"</f>
        <v>0</v>
      </c>
      <c r="BA176" t="str">
        <f ca="1">IF((OFFSET($A$1, 176 - 1, 51 - 1)) &gt;= (OFFSET($A$1, 68 - 1, 7 - 1)), "1","0")</f>
        <v>0</v>
      </c>
      <c r="BB176">
        <f ca="1" xml:space="preserve"> IF( AND( OFFSET($A$1, 176 - 1, 52 - 1) = "1", OFFSET($A$1, 176 - 1, 53 - 1) = "1" ), 1, IF( AND( OFFSET($A$1, 176 - 1, 52 - 1) = "1", OFFSET($A$1, 176 - 1, 53 - 1) = "0" ), 2, IF( AND( OFFSET($A$1, 176 - 1, 52 - 1) = "0", OFFSET($A$1, 176 - 1, 53 - 1) = "1" ), 3, 4 ) ) )</f>
        <v>4</v>
      </c>
      <c r="BD176" s="7">
        <v>0.20524334548751555</v>
      </c>
      <c r="BE176" s="7" t="str">
        <f>"0"</f>
        <v>0</v>
      </c>
      <c r="BF176" t="str">
        <f ca="1">IF((OFFSET($A$1, 176 - 1, 56 - 1)) &gt;= (OFFSET($A$1, 92 - 1, 7 - 1)), "1","0")</f>
        <v>0</v>
      </c>
      <c r="BG176">
        <f ca="1" xml:space="preserve"> IF( AND( OFFSET($A$1, 176 - 1, 57 - 1) = "1", OFFSET($A$1, 176 - 1, 58 - 1) = "1" ), 1, IF( AND( OFFSET($A$1, 176 - 1, 57 - 1) = "1", OFFSET($A$1, 176 - 1, 58 - 1) = "0" ), 2, IF( AND( OFFSET($A$1, 176 - 1, 57 - 1) = "0", OFFSET($A$1, 176 - 1, 58 - 1) = "1" ), 3, 4 ) ) )</f>
        <v>4</v>
      </c>
    </row>
    <row r="177" spans="51:59" x14ac:dyDescent="0.25">
      <c r="AY177" s="7">
        <v>0.16903397659089944</v>
      </c>
      <c r="AZ177" s="7" t="str">
        <f>"0"</f>
        <v>0</v>
      </c>
      <c r="BA177" t="str">
        <f ca="1">IF((OFFSET($A$1, 177 - 1, 51 - 1)) &gt;= (OFFSET($A$1, 68 - 1, 7 - 1)), "1","0")</f>
        <v>0</v>
      </c>
      <c r="BB177">
        <f ca="1" xml:space="preserve"> IF( AND( OFFSET($A$1, 177 - 1, 52 - 1) = "1", OFFSET($A$1, 177 - 1, 53 - 1) = "1" ), 1, IF( AND( OFFSET($A$1, 177 - 1, 52 - 1) = "1", OFFSET($A$1, 177 - 1, 53 - 1) = "0" ), 2, IF( AND( OFFSET($A$1, 177 - 1, 52 - 1) = "0", OFFSET($A$1, 177 - 1, 53 - 1) = "1" ), 3, 4 ) ) )</f>
        <v>4</v>
      </c>
      <c r="BD177" s="7">
        <v>0.20524334548751555</v>
      </c>
      <c r="BE177" s="7" t="str">
        <f>"0"</f>
        <v>0</v>
      </c>
      <c r="BF177" t="str">
        <f ca="1">IF((OFFSET($A$1, 177 - 1, 56 - 1)) &gt;= (OFFSET($A$1, 92 - 1, 7 - 1)), "1","0")</f>
        <v>0</v>
      </c>
      <c r="BG177">
        <f ca="1" xml:space="preserve"> IF( AND( OFFSET($A$1, 177 - 1, 57 - 1) = "1", OFFSET($A$1, 177 - 1, 58 - 1) = "1" ), 1, IF( AND( OFFSET($A$1, 177 - 1, 57 - 1) = "1", OFFSET($A$1, 177 - 1, 58 - 1) = "0" ), 2, IF( AND( OFFSET($A$1, 177 - 1, 57 - 1) = "0", OFFSET($A$1, 177 - 1, 58 - 1) = "1" ), 3, 4 ) ) )</f>
        <v>4</v>
      </c>
    </row>
    <row r="178" spans="51:59" x14ac:dyDescent="0.25">
      <c r="AY178" s="7">
        <v>0.20524334548751555</v>
      </c>
      <c r="AZ178" s="7" t="str">
        <f>"0"</f>
        <v>0</v>
      </c>
      <c r="BA178" t="str">
        <f ca="1">IF((OFFSET($A$1, 178 - 1, 51 - 1)) &gt;= (OFFSET($A$1, 68 - 1, 7 - 1)), "1","0")</f>
        <v>0</v>
      </c>
      <c r="BB178">
        <f ca="1" xml:space="preserve"> IF( AND( OFFSET($A$1, 178 - 1, 52 - 1) = "1", OFFSET($A$1, 178 - 1, 53 - 1) = "1" ), 1, IF( AND( OFFSET($A$1, 178 - 1, 52 - 1) = "1", OFFSET($A$1, 178 - 1, 53 - 1) = "0" ), 2, IF( AND( OFFSET($A$1, 178 - 1, 52 - 1) = "0", OFFSET($A$1, 178 - 1, 53 - 1) = "1" ), 3, 4 ) ) )</f>
        <v>4</v>
      </c>
      <c r="BD178" s="7">
        <v>0.20524334548751555</v>
      </c>
      <c r="BE178" s="7" t="str">
        <f>"0"</f>
        <v>0</v>
      </c>
      <c r="BF178" t="str">
        <f ca="1">IF((OFFSET($A$1, 178 - 1, 56 - 1)) &gt;= (OFFSET($A$1, 92 - 1, 7 - 1)), "1","0")</f>
        <v>0</v>
      </c>
      <c r="BG178">
        <f ca="1" xml:space="preserve"> IF( AND( OFFSET($A$1, 178 - 1, 57 - 1) = "1", OFFSET($A$1, 178 - 1, 58 - 1) = "1" ), 1, IF( AND( OFFSET($A$1, 178 - 1, 57 - 1) = "1", OFFSET($A$1, 178 - 1, 58 - 1) = "0" ), 2, IF( AND( OFFSET($A$1, 178 - 1, 57 - 1) = "0", OFFSET($A$1, 178 - 1, 58 - 1) = "1" ), 3, 4 ) ) )</f>
        <v>4</v>
      </c>
    </row>
    <row r="179" spans="51:59" x14ac:dyDescent="0.25">
      <c r="AY179" s="7">
        <v>0.20524334548751555</v>
      </c>
      <c r="AZ179" s="7" t="str">
        <f>"0"</f>
        <v>0</v>
      </c>
      <c r="BA179" t="str">
        <f ca="1">IF((OFFSET($A$1, 179 - 1, 51 - 1)) &gt;= (OFFSET($A$1, 68 - 1, 7 - 1)), "1","0")</f>
        <v>0</v>
      </c>
      <c r="BB179">
        <f ca="1" xml:space="preserve"> IF( AND( OFFSET($A$1, 179 - 1, 52 - 1) = "1", OFFSET($A$1, 179 - 1, 53 - 1) = "1" ), 1, IF( AND( OFFSET($A$1, 179 - 1, 52 - 1) = "1", OFFSET($A$1, 179 - 1, 53 - 1) = "0" ), 2, IF( AND( OFFSET($A$1, 179 - 1, 52 - 1) = "0", OFFSET($A$1, 179 - 1, 53 - 1) = "1" ), 3, 4 ) ) )</f>
        <v>4</v>
      </c>
      <c r="BD179" s="7">
        <v>0.16903397659089944</v>
      </c>
      <c r="BE179" s="7" t="str">
        <f>"0"</f>
        <v>0</v>
      </c>
      <c r="BF179" t="str">
        <f ca="1">IF((OFFSET($A$1, 179 - 1, 56 - 1)) &gt;= (OFFSET($A$1, 92 - 1, 7 - 1)), "1","0")</f>
        <v>0</v>
      </c>
      <c r="BG179">
        <f ca="1" xml:space="preserve"> IF( AND( OFFSET($A$1, 179 - 1, 57 - 1) = "1", OFFSET($A$1, 179 - 1, 58 - 1) = "1" ), 1, IF( AND( OFFSET($A$1, 179 - 1, 57 - 1) = "1", OFFSET($A$1, 179 - 1, 58 - 1) = "0" ), 2, IF( AND( OFFSET($A$1, 179 - 1, 57 - 1) = "0", OFFSET($A$1, 179 - 1, 58 - 1) = "1" ), 3, 4 ) ) )</f>
        <v>4</v>
      </c>
    </row>
    <row r="180" spans="51:59" x14ac:dyDescent="0.25">
      <c r="AY180" s="7">
        <v>0.16903397659089944</v>
      </c>
      <c r="AZ180" s="7" t="str">
        <f>"0"</f>
        <v>0</v>
      </c>
      <c r="BA180" t="str">
        <f ca="1">IF((OFFSET($A$1, 180 - 1, 51 - 1)) &gt;= (OFFSET($A$1, 68 - 1, 7 - 1)), "1","0")</f>
        <v>0</v>
      </c>
      <c r="BB180">
        <f ca="1" xml:space="preserve"> IF( AND( OFFSET($A$1, 180 - 1, 52 - 1) = "1", OFFSET($A$1, 180 - 1, 53 - 1) = "1" ), 1, IF( AND( OFFSET($A$1, 180 - 1, 52 - 1) = "1", OFFSET($A$1, 180 - 1, 53 - 1) = "0" ), 2, IF( AND( OFFSET($A$1, 180 - 1, 52 - 1) = "0", OFFSET($A$1, 180 - 1, 53 - 1) = "1" ), 3, 4 ) ) )</f>
        <v>4</v>
      </c>
      <c r="BD180" s="7">
        <v>0.16903397659089944</v>
      </c>
      <c r="BE180" s="7" t="str">
        <f>"0"</f>
        <v>0</v>
      </c>
      <c r="BF180" t="str">
        <f ca="1">IF((OFFSET($A$1, 180 - 1, 56 - 1)) &gt;= (OFFSET($A$1, 92 - 1, 7 - 1)), "1","0")</f>
        <v>0</v>
      </c>
      <c r="BG180">
        <f ca="1" xml:space="preserve"> IF( AND( OFFSET($A$1, 180 - 1, 57 - 1) = "1", OFFSET($A$1, 180 - 1, 58 - 1) = "1" ), 1, IF( AND( OFFSET($A$1, 180 - 1, 57 - 1) = "1", OFFSET($A$1, 180 - 1, 58 - 1) = "0" ), 2, IF( AND( OFFSET($A$1, 180 - 1, 57 - 1) = "0", OFFSET($A$1, 180 - 1, 58 - 1) = "1" ), 3, 4 ) ) )</f>
        <v>4</v>
      </c>
    </row>
    <row r="181" spans="51:59" x14ac:dyDescent="0.25">
      <c r="AY181" s="7">
        <v>0.20524334548751555</v>
      </c>
      <c r="AZ181" s="7" t="str">
        <f>"1"</f>
        <v>1</v>
      </c>
      <c r="BA181" t="str">
        <f ca="1">IF((OFFSET($A$1, 181 - 1, 51 - 1)) &gt;= (OFFSET($A$1, 68 - 1, 7 - 1)), "1","0")</f>
        <v>0</v>
      </c>
      <c r="BB181">
        <f ca="1" xml:space="preserve"> IF( AND( OFFSET($A$1, 181 - 1, 52 - 1) = "1", OFFSET($A$1, 181 - 1, 53 - 1) = "1" ), 1, IF( AND( OFFSET($A$1, 181 - 1, 52 - 1) = "1", OFFSET($A$1, 181 - 1, 53 - 1) = "0" ), 2, IF( AND( OFFSET($A$1, 181 - 1, 52 - 1) = "0", OFFSET($A$1, 181 - 1, 53 - 1) = "1" ), 3, 4 ) ) )</f>
        <v>2</v>
      </c>
      <c r="BD181" s="7">
        <v>0.16903397659089944</v>
      </c>
      <c r="BE181" s="7" t="str">
        <f>"0"</f>
        <v>0</v>
      </c>
      <c r="BF181" t="str">
        <f ca="1">IF((OFFSET($A$1, 181 - 1, 56 - 1)) &gt;= (OFFSET($A$1, 92 - 1, 7 - 1)), "1","0")</f>
        <v>0</v>
      </c>
      <c r="BG181">
        <f ca="1" xml:space="preserve"> IF( AND( OFFSET($A$1, 181 - 1, 57 - 1) = "1", OFFSET($A$1, 181 - 1, 58 - 1) = "1" ), 1, IF( AND( OFFSET($A$1, 181 - 1, 57 - 1) = "1", OFFSET($A$1, 181 - 1, 58 - 1) = "0" ), 2, IF( AND( OFFSET($A$1, 181 - 1, 57 - 1) = "0", OFFSET($A$1, 181 - 1, 58 - 1) = "1" ), 3, 4 ) ) )</f>
        <v>4</v>
      </c>
    </row>
    <row r="182" spans="51:59" x14ac:dyDescent="0.25">
      <c r="AY182" s="7">
        <v>0.20524334548751555</v>
      </c>
      <c r="AZ182" s="7" t="str">
        <f>"0"</f>
        <v>0</v>
      </c>
      <c r="BA182" t="str">
        <f ca="1">IF((OFFSET($A$1, 182 - 1, 51 - 1)) &gt;= (OFFSET($A$1, 68 - 1, 7 - 1)), "1","0")</f>
        <v>0</v>
      </c>
      <c r="BB182">
        <f ca="1" xml:space="preserve"> IF( AND( OFFSET($A$1, 182 - 1, 52 - 1) = "1", OFFSET($A$1, 182 - 1, 53 - 1) = "1" ), 1, IF( AND( OFFSET($A$1, 182 - 1, 52 - 1) = "1", OFFSET($A$1, 182 - 1, 53 - 1) = "0" ), 2, IF( AND( OFFSET($A$1, 182 - 1, 52 - 1) = "0", OFFSET($A$1, 182 - 1, 53 - 1) = "1" ), 3, 4 ) ) )</f>
        <v>4</v>
      </c>
      <c r="BD182" s="7">
        <v>0.20524334548751555</v>
      </c>
      <c r="BE182" s="7" t="str">
        <f>"0"</f>
        <v>0</v>
      </c>
      <c r="BF182" t="str">
        <f ca="1">IF((OFFSET($A$1, 182 - 1, 56 - 1)) &gt;= (OFFSET($A$1, 92 - 1, 7 - 1)), "1","0")</f>
        <v>0</v>
      </c>
      <c r="BG182">
        <f ca="1" xml:space="preserve"> IF( AND( OFFSET($A$1, 182 - 1, 57 - 1) = "1", OFFSET($A$1, 182 - 1, 58 - 1) = "1" ), 1, IF( AND( OFFSET($A$1, 182 - 1, 57 - 1) = "1", OFFSET($A$1, 182 - 1, 58 - 1) = "0" ), 2, IF( AND( OFFSET($A$1, 182 - 1, 57 - 1) = "0", OFFSET($A$1, 182 - 1, 58 - 1) = "1" ), 3, 4 ) ) )</f>
        <v>4</v>
      </c>
    </row>
    <row r="183" spans="51:59" x14ac:dyDescent="0.25">
      <c r="AY183" s="7">
        <v>0.20524334548751555</v>
      </c>
      <c r="AZ183" s="7" t="str">
        <f>"0"</f>
        <v>0</v>
      </c>
      <c r="BA183" t="str">
        <f ca="1">IF((OFFSET($A$1, 183 - 1, 51 - 1)) &gt;= (OFFSET($A$1, 68 - 1, 7 - 1)), "1","0")</f>
        <v>0</v>
      </c>
      <c r="BB183">
        <f ca="1" xml:space="preserve"> IF( AND( OFFSET($A$1, 183 - 1, 52 - 1) = "1", OFFSET($A$1, 183 - 1, 53 - 1) = "1" ), 1, IF( AND( OFFSET($A$1, 183 - 1, 52 - 1) = "1", OFFSET($A$1, 183 - 1, 53 - 1) = "0" ), 2, IF( AND( OFFSET($A$1, 183 - 1, 52 - 1) = "0", OFFSET($A$1, 183 - 1, 53 - 1) = "1" ), 3, 4 ) ) )</f>
        <v>4</v>
      </c>
      <c r="BD183" s="7">
        <v>0.20524334548751555</v>
      </c>
      <c r="BE183" s="7" t="str">
        <f>"0"</f>
        <v>0</v>
      </c>
      <c r="BF183" t="str">
        <f ca="1">IF((OFFSET($A$1, 183 - 1, 56 - 1)) &gt;= (OFFSET($A$1, 92 - 1, 7 - 1)), "1","0")</f>
        <v>0</v>
      </c>
      <c r="BG183">
        <f ca="1" xml:space="preserve"> IF( AND( OFFSET($A$1, 183 - 1, 57 - 1) = "1", OFFSET($A$1, 183 - 1, 58 - 1) = "1" ), 1, IF( AND( OFFSET($A$1, 183 - 1, 57 - 1) = "1", OFFSET($A$1, 183 - 1, 58 - 1) = "0" ), 2, IF( AND( OFFSET($A$1, 183 - 1, 57 - 1) = "0", OFFSET($A$1, 183 - 1, 58 - 1) = "1" ), 3, 4 ) ) )</f>
        <v>4</v>
      </c>
    </row>
    <row r="184" spans="51:59" x14ac:dyDescent="0.25">
      <c r="AY184" s="7">
        <v>0.16903397659089944</v>
      </c>
      <c r="AZ184" s="7" t="str">
        <f>"0"</f>
        <v>0</v>
      </c>
      <c r="BA184" t="str">
        <f ca="1">IF((OFFSET($A$1, 184 - 1, 51 - 1)) &gt;= (OFFSET($A$1, 68 - 1, 7 - 1)), "1","0")</f>
        <v>0</v>
      </c>
      <c r="BB184">
        <f ca="1" xml:space="preserve"> IF( AND( OFFSET($A$1, 184 - 1, 52 - 1) = "1", OFFSET($A$1, 184 - 1, 53 - 1) = "1" ), 1, IF( AND( OFFSET($A$1, 184 - 1, 52 - 1) = "1", OFFSET($A$1, 184 - 1, 53 - 1) = "0" ), 2, IF( AND( OFFSET($A$1, 184 - 1, 52 - 1) = "0", OFFSET($A$1, 184 - 1, 53 - 1) = "1" ), 3, 4 ) ) )</f>
        <v>4</v>
      </c>
      <c r="BD184" s="7">
        <v>0.20524334548751555</v>
      </c>
      <c r="BE184" s="7" t="str">
        <f>"0"</f>
        <v>0</v>
      </c>
      <c r="BF184" t="str">
        <f ca="1">IF((OFFSET($A$1, 184 - 1, 56 - 1)) &gt;= (OFFSET($A$1, 92 - 1, 7 - 1)), "1","0")</f>
        <v>0</v>
      </c>
      <c r="BG184">
        <f ca="1" xml:space="preserve"> IF( AND( OFFSET($A$1, 184 - 1, 57 - 1) = "1", OFFSET($A$1, 184 - 1, 58 - 1) = "1" ), 1, IF( AND( OFFSET($A$1, 184 - 1, 57 - 1) = "1", OFFSET($A$1, 184 - 1, 58 - 1) = "0" ), 2, IF( AND( OFFSET($A$1, 184 - 1, 57 - 1) = "0", OFFSET($A$1, 184 - 1, 58 - 1) = "1" ), 3, 4 ) ) )</f>
        <v>4</v>
      </c>
    </row>
    <row r="185" spans="51:59" x14ac:dyDescent="0.25">
      <c r="AY185" s="7">
        <v>0.20524334548751555</v>
      </c>
      <c r="AZ185" s="7" t="str">
        <f>"0"</f>
        <v>0</v>
      </c>
      <c r="BA185" t="str">
        <f ca="1">IF((OFFSET($A$1, 185 - 1, 51 - 1)) &gt;= (OFFSET($A$1, 68 - 1, 7 - 1)), "1","0")</f>
        <v>0</v>
      </c>
      <c r="BB185">
        <f ca="1" xml:space="preserve"> IF( AND( OFFSET($A$1, 185 - 1, 52 - 1) = "1", OFFSET($A$1, 185 - 1, 53 - 1) = "1" ), 1, IF( AND( OFFSET($A$1, 185 - 1, 52 - 1) = "1", OFFSET($A$1, 185 - 1, 53 - 1) = "0" ), 2, IF( AND( OFFSET($A$1, 185 - 1, 52 - 1) = "0", OFFSET($A$1, 185 - 1, 53 - 1) = "1" ), 3, 4 ) ) )</f>
        <v>4</v>
      </c>
      <c r="BD185" s="7">
        <v>0.20524334548751555</v>
      </c>
      <c r="BE185" s="7" t="str">
        <f>"0"</f>
        <v>0</v>
      </c>
      <c r="BF185" t="str">
        <f ca="1">IF((OFFSET($A$1, 185 - 1, 56 - 1)) &gt;= (OFFSET($A$1, 92 - 1, 7 - 1)), "1","0")</f>
        <v>0</v>
      </c>
      <c r="BG185">
        <f ca="1" xml:space="preserve"> IF( AND( OFFSET($A$1, 185 - 1, 57 - 1) = "1", OFFSET($A$1, 185 - 1, 58 - 1) = "1" ), 1, IF( AND( OFFSET($A$1, 185 - 1, 57 - 1) = "1", OFFSET($A$1, 185 - 1, 58 - 1) = "0" ), 2, IF( AND( OFFSET($A$1, 185 - 1, 57 - 1) = "0", OFFSET($A$1, 185 - 1, 58 - 1) = "1" ), 3, 4 ) ) )</f>
        <v>4</v>
      </c>
    </row>
    <row r="186" spans="51:59" x14ac:dyDescent="0.25">
      <c r="AY186" s="7">
        <v>0.20524334548751555</v>
      </c>
      <c r="AZ186" s="7" t="str">
        <f>"0"</f>
        <v>0</v>
      </c>
      <c r="BA186" t="str">
        <f ca="1">IF((OFFSET($A$1, 186 - 1, 51 - 1)) &gt;= (OFFSET($A$1, 68 - 1, 7 - 1)), "1","0")</f>
        <v>0</v>
      </c>
      <c r="BB186">
        <f ca="1" xml:space="preserve"> IF( AND( OFFSET($A$1, 186 - 1, 52 - 1) = "1", OFFSET($A$1, 186 - 1, 53 - 1) = "1" ), 1, IF( AND( OFFSET($A$1, 186 - 1, 52 - 1) = "1", OFFSET($A$1, 186 - 1, 53 - 1) = "0" ), 2, IF( AND( OFFSET($A$1, 186 - 1, 52 - 1) = "0", OFFSET($A$1, 186 - 1, 53 - 1) = "1" ), 3, 4 ) ) )</f>
        <v>4</v>
      </c>
      <c r="BD186" s="7">
        <v>0.20524334548751555</v>
      </c>
      <c r="BE186" s="7" t="str">
        <f>"0"</f>
        <v>0</v>
      </c>
      <c r="BF186" t="str">
        <f ca="1">IF((OFFSET($A$1, 186 - 1, 56 - 1)) &gt;= (OFFSET($A$1, 92 - 1, 7 - 1)), "1","0")</f>
        <v>0</v>
      </c>
      <c r="BG186">
        <f ca="1" xml:space="preserve"> IF( AND( OFFSET($A$1, 186 - 1, 57 - 1) = "1", OFFSET($A$1, 186 - 1, 58 - 1) = "1" ), 1, IF( AND( OFFSET($A$1, 186 - 1, 57 - 1) = "1", OFFSET($A$1, 186 - 1, 58 - 1) = "0" ), 2, IF( AND( OFFSET($A$1, 186 - 1, 57 - 1) = "0", OFFSET($A$1, 186 - 1, 58 - 1) = "1" ), 3, 4 ) ) )</f>
        <v>4</v>
      </c>
    </row>
    <row r="187" spans="51:59" x14ac:dyDescent="0.25">
      <c r="AY187" s="7">
        <v>0.20524334548751555</v>
      </c>
      <c r="AZ187" s="7" t="str">
        <f>"0"</f>
        <v>0</v>
      </c>
      <c r="BA187" t="str">
        <f ca="1">IF((OFFSET($A$1, 187 - 1, 51 - 1)) &gt;= (OFFSET($A$1, 68 - 1, 7 - 1)), "1","0")</f>
        <v>0</v>
      </c>
      <c r="BB187">
        <f ca="1" xml:space="preserve"> IF( AND( OFFSET($A$1, 187 - 1, 52 - 1) = "1", OFFSET($A$1, 187 - 1, 53 - 1) = "1" ), 1, IF( AND( OFFSET($A$1, 187 - 1, 52 - 1) = "1", OFFSET($A$1, 187 - 1, 53 - 1) = "0" ), 2, IF( AND( OFFSET($A$1, 187 - 1, 52 - 1) = "0", OFFSET($A$1, 187 - 1, 53 - 1) = "1" ), 3, 4 ) ) )</f>
        <v>4</v>
      </c>
      <c r="BD187" s="7">
        <v>0.20524334548751555</v>
      </c>
      <c r="BE187" s="7" t="str">
        <f>"0"</f>
        <v>0</v>
      </c>
      <c r="BF187" t="str">
        <f ca="1">IF((OFFSET($A$1, 187 - 1, 56 - 1)) &gt;= (OFFSET($A$1, 92 - 1, 7 - 1)), "1","0")</f>
        <v>0</v>
      </c>
      <c r="BG187">
        <f ca="1" xml:space="preserve"> IF( AND( OFFSET($A$1, 187 - 1, 57 - 1) = "1", OFFSET($A$1, 187 - 1, 58 - 1) = "1" ), 1, IF( AND( OFFSET($A$1, 187 - 1, 57 - 1) = "1", OFFSET($A$1, 187 - 1, 58 - 1) = "0" ), 2, IF( AND( OFFSET($A$1, 187 - 1, 57 - 1) = "0", OFFSET($A$1, 187 - 1, 58 - 1) = "1" ), 3, 4 ) ) )</f>
        <v>4</v>
      </c>
    </row>
    <row r="188" spans="51:59" x14ac:dyDescent="0.25">
      <c r="AY188" s="7">
        <v>0.16903397659089944</v>
      </c>
      <c r="AZ188" s="7" t="str">
        <f>"1"</f>
        <v>1</v>
      </c>
      <c r="BA188" t="str">
        <f ca="1">IF((OFFSET($A$1, 188 - 1, 51 - 1)) &gt;= (OFFSET($A$1, 68 - 1, 7 - 1)), "1","0")</f>
        <v>0</v>
      </c>
      <c r="BB188">
        <f ca="1" xml:space="preserve"> IF( AND( OFFSET($A$1, 188 - 1, 52 - 1) = "1", OFFSET($A$1, 188 - 1, 53 - 1) = "1" ), 1, IF( AND( OFFSET($A$1, 188 - 1, 52 - 1) = "1", OFFSET($A$1, 188 - 1, 53 - 1) = "0" ), 2, IF( AND( OFFSET($A$1, 188 - 1, 52 - 1) = "0", OFFSET($A$1, 188 - 1, 53 - 1) = "1" ), 3, 4 ) ) )</f>
        <v>2</v>
      </c>
      <c r="BD188" s="7">
        <v>0.20524334548751555</v>
      </c>
      <c r="BE188" s="7" t="str">
        <f>"0"</f>
        <v>0</v>
      </c>
      <c r="BF188" t="str">
        <f ca="1">IF((OFFSET($A$1, 188 - 1, 56 - 1)) &gt;= (OFFSET($A$1, 92 - 1, 7 - 1)), "1","0")</f>
        <v>0</v>
      </c>
      <c r="BG188">
        <f ca="1" xml:space="preserve"> IF( AND( OFFSET($A$1, 188 - 1, 57 - 1) = "1", OFFSET($A$1, 188 - 1, 58 - 1) = "1" ), 1, IF( AND( OFFSET($A$1, 188 - 1, 57 - 1) = "1", OFFSET($A$1, 188 - 1, 58 - 1) = "0" ), 2, IF( AND( OFFSET($A$1, 188 - 1, 57 - 1) = "0", OFFSET($A$1, 188 - 1, 58 - 1) = "1" ), 3, 4 ) ) )</f>
        <v>4</v>
      </c>
    </row>
    <row r="189" spans="51:59" x14ac:dyDescent="0.25">
      <c r="AY189" s="7">
        <v>0.20524334548751555</v>
      </c>
      <c r="AZ189" s="7" t="str">
        <f>"0"</f>
        <v>0</v>
      </c>
      <c r="BA189" t="str">
        <f ca="1">IF((OFFSET($A$1, 189 - 1, 51 - 1)) &gt;= (OFFSET($A$1, 68 - 1, 7 - 1)), "1","0")</f>
        <v>0</v>
      </c>
      <c r="BB189">
        <f ca="1" xml:space="preserve"> IF( AND( OFFSET($A$1, 189 - 1, 52 - 1) = "1", OFFSET($A$1, 189 - 1, 53 - 1) = "1" ), 1, IF( AND( OFFSET($A$1, 189 - 1, 52 - 1) = "1", OFFSET($A$1, 189 - 1, 53 - 1) = "0" ), 2, IF( AND( OFFSET($A$1, 189 - 1, 52 - 1) = "0", OFFSET($A$1, 189 - 1, 53 - 1) = "1" ), 3, 4 ) ) )</f>
        <v>4</v>
      </c>
      <c r="BD189" s="7">
        <v>0.20524334548751555</v>
      </c>
      <c r="BE189" s="7" t="str">
        <f>"0"</f>
        <v>0</v>
      </c>
      <c r="BF189" t="str">
        <f ca="1">IF((OFFSET($A$1, 189 - 1, 56 - 1)) &gt;= (OFFSET($A$1, 92 - 1, 7 - 1)), "1","0")</f>
        <v>0</v>
      </c>
      <c r="BG189">
        <f ca="1" xml:space="preserve"> IF( AND( OFFSET($A$1, 189 - 1, 57 - 1) = "1", OFFSET($A$1, 189 - 1, 58 - 1) = "1" ), 1, IF( AND( OFFSET($A$1, 189 - 1, 57 - 1) = "1", OFFSET($A$1, 189 - 1, 58 - 1) = "0" ), 2, IF( AND( OFFSET($A$1, 189 - 1, 57 - 1) = "0", OFFSET($A$1, 189 - 1, 58 - 1) = "1" ), 3, 4 ) ) )</f>
        <v>4</v>
      </c>
    </row>
    <row r="190" spans="51:59" x14ac:dyDescent="0.25">
      <c r="AY190" s="7">
        <v>0.16903397659089944</v>
      </c>
      <c r="AZ190" s="7" t="str">
        <f>"0"</f>
        <v>0</v>
      </c>
      <c r="BA190" t="str">
        <f ca="1">IF((OFFSET($A$1, 190 - 1, 51 - 1)) &gt;= (OFFSET($A$1, 68 - 1, 7 - 1)), "1","0")</f>
        <v>0</v>
      </c>
      <c r="BB190">
        <f ca="1" xml:space="preserve"> IF( AND( OFFSET($A$1, 190 - 1, 52 - 1) = "1", OFFSET($A$1, 190 - 1, 53 - 1) = "1" ), 1, IF( AND( OFFSET($A$1, 190 - 1, 52 - 1) = "1", OFFSET($A$1, 190 - 1, 53 - 1) = "0" ), 2, IF( AND( OFFSET($A$1, 190 - 1, 52 - 1) = "0", OFFSET($A$1, 190 - 1, 53 - 1) = "1" ), 3, 4 ) ) )</f>
        <v>4</v>
      </c>
      <c r="BD190" s="7">
        <v>0.16903397659089944</v>
      </c>
      <c r="BE190" s="7" t="str">
        <f>"0"</f>
        <v>0</v>
      </c>
      <c r="BF190" t="str">
        <f ca="1">IF((OFFSET($A$1, 190 - 1, 56 - 1)) &gt;= (OFFSET($A$1, 92 - 1, 7 - 1)), "1","0")</f>
        <v>0</v>
      </c>
      <c r="BG190">
        <f ca="1" xml:space="preserve"> IF( AND( OFFSET($A$1, 190 - 1, 57 - 1) = "1", OFFSET($A$1, 190 - 1, 58 - 1) = "1" ), 1, IF( AND( OFFSET($A$1, 190 - 1, 57 - 1) = "1", OFFSET($A$1, 190 - 1, 58 - 1) = "0" ), 2, IF( AND( OFFSET($A$1, 190 - 1, 57 - 1) = "0", OFFSET($A$1, 190 - 1, 58 - 1) = "1" ), 3, 4 ) ) )</f>
        <v>4</v>
      </c>
    </row>
    <row r="191" spans="51:59" x14ac:dyDescent="0.25">
      <c r="AY191" s="7">
        <v>0.20524334548751555</v>
      </c>
      <c r="AZ191" s="7" t="str">
        <f>"0"</f>
        <v>0</v>
      </c>
      <c r="BA191" t="str">
        <f ca="1">IF((OFFSET($A$1, 191 - 1, 51 - 1)) &gt;= (OFFSET($A$1, 68 - 1, 7 - 1)), "1","0")</f>
        <v>0</v>
      </c>
      <c r="BB191">
        <f ca="1" xml:space="preserve"> IF( AND( OFFSET($A$1, 191 - 1, 52 - 1) = "1", OFFSET($A$1, 191 - 1, 53 - 1) = "1" ), 1, IF( AND( OFFSET($A$1, 191 - 1, 52 - 1) = "1", OFFSET($A$1, 191 - 1, 53 - 1) = "0" ), 2, IF( AND( OFFSET($A$1, 191 - 1, 52 - 1) = "0", OFFSET($A$1, 191 - 1, 53 - 1) = "1" ), 3, 4 ) ) )</f>
        <v>4</v>
      </c>
      <c r="BD191" s="7">
        <v>0.16903397659089944</v>
      </c>
      <c r="BE191" s="7" t="str">
        <f>"0"</f>
        <v>0</v>
      </c>
      <c r="BF191" t="str">
        <f ca="1">IF((OFFSET($A$1, 191 - 1, 56 - 1)) &gt;= (OFFSET($A$1, 92 - 1, 7 - 1)), "1","0")</f>
        <v>0</v>
      </c>
      <c r="BG191">
        <f ca="1" xml:space="preserve"> IF( AND( OFFSET($A$1, 191 - 1, 57 - 1) = "1", OFFSET($A$1, 191 - 1, 58 - 1) = "1" ), 1, IF( AND( OFFSET($A$1, 191 - 1, 57 - 1) = "1", OFFSET($A$1, 191 - 1, 58 - 1) = "0" ), 2, IF( AND( OFFSET($A$1, 191 - 1, 57 - 1) = "0", OFFSET($A$1, 191 - 1, 58 - 1) = "1" ), 3, 4 ) ) )</f>
        <v>4</v>
      </c>
    </row>
    <row r="192" spans="51:59" x14ac:dyDescent="0.25">
      <c r="AY192" s="7">
        <v>0.16903397659089944</v>
      </c>
      <c r="AZ192" s="7" t="str">
        <f>"0"</f>
        <v>0</v>
      </c>
      <c r="BA192" t="str">
        <f ca="1">IF((OFFSET($A$1, 192 - 1, 51 - 1)) &gt;= (OFFSET($A$1, 68 - 1, 7 - 1)), "1","0")</f>
        <v>0</v>
      </c>
      <c r="BB192">
        <f ca="1" xml:space="preserve"> IF( AND( OFFSET($A$1, 192 - 1, 52 - 1) = "1", OFFSET($A$1, 192 - 1, 53 - 1) = "1" ), 1, IF( AND( OFFSET($A$1, 192 - 1, 52 - 1) = "1", OFFSET($A$1, 192 - 1, 53 - 1) = "0" ), 2, IF( AND( OFFSET($A$1, 192 - 1, 52 - 1) = "0", OFFSET($A$1, 192 - 1, 53 - 1) = "1" ), 3, 4 ) ) )</f>
        <v>4</v>
      </c>
      <c r="BD192" s="7">
        <v>0.20524334548751555</v>
      </c>
      <c r="BE192" s="7" t="str">
        <f>"0"</f>
        <v>0</v>
      </c>
      <c r="BF192" t="str">
        <f ca="1">IF((OFFSET($A$1, 192 - 1, 56 - 1)) &gt;= (OFFSET($A$1, 92 - 1, 7 - 1)), "1","0")</f>
        <v>0</v>
      </c>
      <c r="BG192">
        <f ca="1" xml:space="preserve"> IF( AND( OFFSET($A$1, 192 - 1, 57 - 1) = "1", OFFSET($A$1, 192 - 1, 58 - 1) = "1" ), 1, IF( AND( OFFSET($A$1, 192 - 1, 57 - 1) = "1", OFFSET($A$1, 192 - 1, 58 - 1) = "0" ), 2, IF( AND( OFFSET($A$1, 192 - 1, 57 - 1) = "0", OFFSET($A$1, 192 - 1, 58 - 1) = "1" ), 3, 4 ) ) )</f>
        <v>4</v>
      </c>
    </row>
    <row r="193" spans="51:59" x14ac:dyDescent="0.25">
      <c r="AY193" s="7">
        <v>0.20524334548751555</v>
      </c>
      <c r="AZ193" s="7" t="str">
        <f>"0"</f>
        <v>0</v>
      </c>
      <c r="BA193" t="str">
        <f ca="1">IF((OFFSET($A$1, 193 - 1, 51 - 1)) &gt;= (OFFSET($A$1, 68 - 1, 7 - 1)), "1","0")</f>
        <v>0</v>
      </c>
      <c r="BB193">
        <f ca="1" xml:space="preserve"> IF( AND( OFFSET($A$1, 193 - 1, 52 - 1) = "1", OFFSET($A$1, 193 - 1, 53 - 1) = "1" ), 1, IF( AND( OFFSET($A$1, 193 - 1, 52 - 1) = "1", OFFSET($A$1, 193 - 1, 53 - 1) = "0" ), 2, IF( AND( OFFSET($A$1, 193 - 1, 52 - 1) = "0", OFFSET($A$1, 193 - 1, 53 - 1) = "1" ), 3, 4 ) ) )</f>
        <v>4</v>
      </c>
      <c r="BD193" s="7">
        <v>0.16903397659089944</v>
      </c>
      <c r="BE193" s="7" t="str">
        <f>"0"</f>
        <v>0</v>
      </c>
      <c r="BF193" t="str">
        <f ca="1">IF((OFFSET($A$1, 193 - 1, 56 - 1)) &gt;= (OFFSET($A$1, 92 - 1, 7 - 1)), "1","0")</f>
        <v>0</v>
      </c>
      <c r="BG193">
        <f ca="1" xml:space="preserve"> IF( AND( OFFSET($A$1, 193 - 1, 57 - 1) = "1", OFFSET($A$1, 193 - 1, 58 - 1) = "1" ), 1, IF( AND( OFFSET($A$1, 193 - 1, 57 - 1) = "1", OFFSET($A$1, 193 - 1, 58 - 1) = "0" ), 2, IF( AND( OFFSET($A$1, 193 - 1, 57 - 1) = "0", OFFSET($A$1, 193 - 1, 58 - 1) = "1" ), 3, 4 ) ) )</f>
        <v>4</v>
      </c>
    </row>
    <row r="194" spans="51:59" x14ac:dyDescent="0.25">
      <c r="AY194" s="7">
        <v>0.16903397659089944</v>
      </c>
      <c r="AZ194" s="7" t="str">
        <f>"0"</f>
        <v>0</v>
      </c>
      <c r="BA194" t="str">
        <f ca="1">IF((OFFSET($A$1, 194 - 1, 51 - 1)) &gt;= (OFFSET($A$1, 68 - 1, 7 - 1)), "1","0")</f>
        <v>0</v>
      </c>
      <c r="BB194">
        <f ca="1" xml:space="preserve"> IF( AND( OFFSET($A$1, 194 - 1, 52 - 1) = "1", OFFSET($A$1, 194 - 1, 53 - 1) = "1" ), 1, IF( AND( OFFSET($A$1, 194 - 1, 52 - 1) = "1", OFFSET($A$1, 194 - 1, 53 - 1) = "0" ), 2, IF( AND( OFFSET($A$1, 194 - 1, 52 - 1) = "0", OFFSET($A$1, 194 - 1, 53 - 1) = "1" ), 3, 4 ) ) )</f>
        <v>4</v>
      </c>
      <c r="BD194" s="7">
        <v>0.20524334548751555</v>
      </c>
      <c r="BE194" s="7" t="str">
        <f>"0"</f>
        <v>0</v>
      </c>
      <c r="BF194" t="str">
        <f ca="1">IF((OFFSET($A$1, 194 - 1, 56 - 1)) &gt;= (OFFSET($A$1, 92 - 1, 7 - 1)), "1","0")</f>
        <v>0</v>
      </c>
      <c r="BG194">
        <f ca="1" xml:space="preserve"> IF( AND( OFFSET($A$1, 194 - 1, 57 - 1) = "1", OFFSET($A$1, 194 - 1, 58 - 1) = "1" ), 1, IF( AND( OFFSET($A$1, 194 - 1, 57 - 1) = "1", OFFSET($A$1, 194 - 1, 58 - 1) = "0" ), 2, IF( AND( OFFSET($A$1, 194 - 1, 57 - 1) = "0", OFFSET($A$1, 194 - 1, 58 - 1) = "1" ), 3, 4 ) ) )</f>
        <v>4</v>
      </c>
    </row>
    <row r="195" spans="51:59" x14ac:dyDescent="0.25">
      <c r="AY195" s="7">
        <v>0.20524334548751555</v>
      </c>
      <c r="AZ195" s="7" t="str">
        <f>"1"</f>
        <v>1</v>
      </c>
      <c r="BA195" t="str">
        <f ca="1">IF((OFFSET($A$1, 195 - 1, 51 - 1)) &gt;= (OFFSET($A$1, 68 - 1, 7 - 1)), "1","0")</f>
        <v>0</v>
      </c>
      <c r="BB195">
        <f ca="1" xml:space="preserve"> IF( AND( OFFSET($A$1, 195 - 1, 52 - 1) = "1", OFFSET($A$1, 195 - 1, 53 - 1) = "1" ), 1, IF( AND( OFFSET($A$1, 195 - 1, 52 - 1) = "1", OFFSET($A$1, 195 - 1, 53 - 1) = "0" ), 2, IF( AND( OFFSET($A$1, 195 - 1, 52 - 1) = "0", OFFSET($A$1, 195 - 1, 53 - 1) = "1" ), 3, 4 ) ) )</f>
        <v>2</v>
      </c>
      <c r="BD195" s="7">
        <v>0.20524334548751555</v>
      </c>
      <c r="BE195" s="7" t="str">
        <f>"0"</f>
        <v>0</v>
      </c>
      <c r="BF195" t="str">
        <f ca="1">IF((OFFSET($A$1, 195 - 1, 56 - 1)) &gt;= (OFFSET($A$1, 92 - 1, 7 - 1)), "1","0")</f>
        <v>0</v>
      </c>
      <c r="BG195">
        <f ca="1" xml:space="preserve"> IF( AND( OFFSET($A$1, 195 - 1, 57 - 1) = "1", OFFSET($A$1, 195 - 1, 58 - 1) = "1" ), 1, IF( AND( OFFSET($A$1, 195 - 1, 57 - 1) = "1", OFFSET($A$1, 195 - 1, 58 - 1) = "0" ), 2, IF( AND( OFFSET($A$1, 195 - 1, 57 - 1) = "0", OFFSET($A$1, 195 - 1, 58 - 1) = "1" ), 3, 4 ) ) )</f>
        <v>4</v>
      </c>
    </row>
    <row r="196" spans="51:59" x14ac:dyDescent="0.25">
      <c r="AY196" s="7">
        <v>0.16903397659089944</v>
      </c>
      <c r="AZ196" s="7" t="str">
        <f>"0"</f>
        <v>0</v>
      </c>
      <c r="BA196" t="str">
        <f ca="1">IF((OFFSET($A$1, 196 - 1, 51 - 1)) &gt;= (OFFSET($A$1, 68 - 1, 7 - 1)), "1","0")</f>
        <v>0</v>
      </c>
      <c r="BB196">
        <f ca="1" xml:space="preserve"> IF( AND( OFFSET($A$1, 196 - 1, 52 - 1) = "1", OFFSET($A$1, 196 - 1, 53 - 1) = "1" ), 1, IF( AND( OFFSET($A$1, 196 - 1, 52 - 1) = "1", OFFSET($A$1, 196 - 1, 53 - 1) = "0" ), 2, IF( AND( OFFSET($A$1, 196 - 1, 52 - 1) = "0", OFFSET($A$1, 196 - 1, 53 - 1) = "1" ), 3, 4 ) ) )</f>
        <v>4</v>
      </c>
      <c r="BD196" s="7">
        <v>0.20524334548751555</v>
      </c>
      <c r="BE196" s="7" t="str">
        <f>"0"</f>
        <v>0</v>
      </c>
      <c r="BF196" t="str">
        <f ca="1">IF((OFFSET($A$1, 196 - 1, 56 - 1)) &gt;= (OFFSET($A$1, 92 - 1, 7 - 1)), "1","0")</f>
        <v>0</v>
      </c>
      <c r="BG196">
        <f ca="1" xml:space="preserve"> IF( AND( OFFSET($A$1, 196 - 1, 57 - 1) = "1", OFFSET($A$1, 196 - 1, 58 - 1) = "1" ), 1, IF( AND( OFFSET($A$1, 196 - 1, 57 - 1) = "1", OFFSET($A$1, 196 - 1, 58 - 1) = "0" ), 2, IF( AND( OFFSET($A$1, 196 - 1, 57 - 1) = "0", OFFSET($A$1, 196 - 1, 58 - 1) = "1" ), 3, 4 ) ) )</f>
        <v>4</v>
      </c>
    </row>
    <row r="197" spans="51:59" x14ac:dyDescent="0.25">
      <c r="AY197" s="7">
        <v>0.20524334548751555</v>
      </c>
      <c r="AZ197" s="7" t="str">
        <f>"0"</f>
        <v>0</v>
      </c>
      <c r="BA197" t="str">
        <f ca="1">IF((OFFSET($A$1, 197 - 1, 51 - 1)) &gt;= (OFFSET($A$1, 68 - 1, 7 - 1)), "1","0")</f>
        <v>0</v>
      </c>
      <c r="BB197">
        <f ca="1" xml:space="preserve"> IF( AND( OFFSET($A$1, 197 - 1, 52 - 1) = "1", OFFSET($A$1, 197 - 1, 53 - 1) = "1" ), 1, IF( AND( OFFSET($A$1, 197 - 1, 52 - 1) = "1", OFFSET($A$1, 197 - 1, 53 - 1) = "0" ), 2, IF( AND( OFFSET($A$1, 197 - 1, 52 - 1) = "0", OFFSET($A$1, 197 - 1, 53 - 1) = "1" ), 3, 4 ) ) )</f>
        <v>4</v>
      </c>
      <c r="BD197" s="7">
        <v>0.20524334548751555</v>
      </c>
      <c r="BE197" s="7" t="str">
        <f>"0"</f>
        <v>0</v>
      </c>
      <c r="BF197" t="str">
        <f ca="1">IF((OFFSET($A$1, 197 - 1, 56 - 1)) &gt;= (OFFSET($A$1, 92 - 1, 7 - 1)), "1","0")</f>
        <v>0</v>
      </c>
      <c r="BG197">
        <f ca="1" xml:space="preserve"> IF( AND( OFFSET($A$1, 197 - 1, 57 - 1) = "1", OFFSET($A$1, 197 - 1, 58 - 1) = "1" ), 1, IF( AND( OFFSET($A$1, 197 - 1, 57 - 1) = "1", OFFSET($A$1, 197 - 1, 58 - 1) = "0" ), 2, IF( AND( OFFSET($A$1, 197 - 1, 57 - 1) = "0", OFFSET($A$1, 197 - 1, 58 - 1) = "1" ), 3, 4 ) ) )</f>
        <v>4</v>
      </c>
    </row>
    <row r="198" spans="51:59" x14ac:dyDescent="0.25">
      <c r="AY198" s="7">
        <v>0.20524334548751555</v>
      </c>
      <c r="AZ198" s="7" t="str">
        <f>"0"</f>
        <v>0</v>
      </c>
      <c r="BA198" t="str">
        <f ca="1">IF((OFFSET($A$1, 198 - 1, 51 - 1)) &gt;= (OFFSET($A$1, 68 - 1, 7 - 1)), "1","0")</f>
        <v>0</v>
      </c>
      <c r="BB198">
        <f ca="1" xml:space="preserve"> IF( AND( OFFSET($A$1, 198 - 1, 52 - 1) = "1", OFFSET($A$1, 198 - 1, 53 - 1) = "1" ), 1, IF( AND( OFFSET($A$1, 198 - 1, 52 - 1) = "1", OFFSET($A$1, 198 - 1, 53 - 1) = "0" ), 2, IF( AND( OFFSET($A$1, 198 - 1, 52 - 1) = "0", OFFSET($A$1, 198 - 1, 53 - 1) = "1" ), 3, 4 ) ) )</f>
        <v>4</v>
      </c>
      <c r="BD198" s="7">
        <v>0.20524334548751555</v>
      </c>
      <c r="BE198" s="7" t="str">
        <f>"0"</f>
        <v>0</v>
      </c>
      <c r="BF198" t="str">
        <f ca="1">IF((OFFSET($A$1, 198 - 1, 56 - 1)) &gt;= (OFFSET($A$1, 92 - 1, 7 - 1)), "1","0")</f>
        <v>0</v>
      </c>
      <c r="BG198">
        <f ca="1" xml:space="preserve"> IF( AND( OFFSET($A$1, 198 - 1, 57 - 1) = "1", OFFSET($A$1, 198 - 1, 58 - 1) = "1" ), 1, IF( AND( OFFSET($A$1, 198 - 1, 57 - 1) = "1", OFFSET($A$1, 198 - 1, 58 - 1) = "0" ), 2, IF( AND( OFFSET($A$1, 198 - 1, 57 - 1) = "0", OFFSET($A$1, 198 - 1, 58 - 1) = "1" ), 3, 4 ) ) )</f>
        <v>4</v>
      </c>
    </row>
    <row r="199" spans="51:59" x14ac:dyDescent="0.25">
      <c r="AY199" s="7">
        <v>0.20524334548751555</v>
      </c>
      <c r="AZ199" s="7" t="str">
        <f>"0"</f>
        <v>0</v>
      </c>
      <c r="BA199" t="str">
        <f ca="1">IF((OFFSET($A$1, 199 - 1, 51 - 1)) &gt;= (OFFSET($A$1, 68 - 1, 7 - 1)), "1","0")</f>
        <v>0</v>
      </c>
      <c r="BB199">
        <f ca="1" xml:space="preserve"> IF( AND( OFFSET($A$1, 199 - 1, 52 - 1) = "1", OFFSET($A$1, 199 - 1, 53 - 1) = "1" ), 1, IF( AND( OFFSET($A$1, 199 - 1, 52 - 1) = "1", OFFSET($A$1, 199 - 1, 53 - 1) = "0" ), 2, IF( AND( OFFSET($A$1, 199 - 1, 52 - 1) = "0", OFFSET($A$1, 199 - 1, 53 - 1) = "1" ), 3, 4 ) ) )</f>
        <v>4</v>
      </c>
      <c r="BD199" s="7">
        <v>0.20524334548751555</v>
      </c>
      <c r="BE199" s="7" t="str">
        <f>"0"</f>
        <v>0</v>
      </c>
      <c r="BF199" t="str">
        <f ca="1">IF((OFFSET($A$1, 199 - 1, 56 - 1)) &gt;= (OFFSET($A$1, 92 - 1, 7 - 1)), "1","0")</f>
        <v>0</v>
      </c>
      <c r="BG199">
        <f ca="1" xml:space="preserve"> IF( AND( OFFSET($A$1, 199 - 1, 57 - 1) = "1", OFFSET($A$1, 199 - 1, 58 - 1) = "1" ), 1, IF( AND( OFFSET($A$1, 199 - 1, 57 - 1) = "1", OFFSET($A$1, 199 - 1, 58 - 1) = "0" ), 2, IF( AND( OFFSET($A$1, 199 - 1, 57 - 1) = "0", OFFSET($A$1, 199 - 1, 58 - 1) = "1" ), 3, 4 ) ) )</f>
        <v>4</v>
      </c>
    </row>
    <row r="200" spans="51:59" x14ac:dyDescent="0.25">
      <c r="AY200" s="7">
        <v>0.20524334548751555</v>
      </c>
      <c r="AZ200" s="7" t="str">
        <f>"0"</f>
        <v>0</v>
      </c>
      <c r="BA200" t="str">
        <f ca="1">IF((OFFSET($A$1, 200 - 1, 51 - 1)) &gt;= (OFFSET($A$1, 68 - 1, 7 - 1)), "1","0")</f>
        <v>0</v>
      </c>
      <c r="BB200">
        <f ca="1" xml:space="preserve"> IF( AND( OFFSET($A$1, 200 - 1, 52 - 1) = "1", OFFSET($A$1, 200 - 1, 53 - 1) = "1" ), 1, IF( AND( OFFSET($A$1, 200 - 1, 52 - 1) = "1", OFFSET($A$1, 200 - 1, 53 - 1) = "0" ), 2, IF( AND( OFFSET($A$1, 200 - 1, 52 - 1) = "0", OFFSET($A$1, 200 - 1, 53 - 1) = "1" ), 3, 4 ) ) )</f>
        <v>4</v>
      </c>
      <c r="BD200" s="7">
        <v>0.20524334548751555</v>
      </c>
      <c r="BE200" s="7" t="str">
        <f>"0"</f>
        <v>0</v>
      </c>
      <c r="BF200" t="str">
        <f ca="1">IF((OFFSET($A$1, 200 - 1, 56 - 1)) &gt;= (OFFSET($A$1, 92 - 1, 7 - 1)), "1","0")</f>
        <v>0</v>
      </c>
      <c r="BG200">
        <f ca="1" xml:space="preserve"> IF( AND( OFFSET($A$1, 200 - 1, 57 - 1) = "1", OFFSET($A$1, 200 - 1, 58 - 1) = "1" ), 1, IF( AND( OFFSET($A$1, 200 - 1, 57 - 1) = "1", OFFSET($A$1, 200 - 1, 58 - 1) = "0" ), 2, IF( AND( OFFSET($A$1, 200 - 1, 57 - 1) = "0", OFFSET($A$1, 200 - 1, 58 - 1) = "1" ), 3, 4 ) ) )</f>
        <v>4</v>
      </c>
    </row>
    <row r="201" spans="51:59" x14ac:dyDescent="0.25">
      <c r="AY201" s="7">
        <v>0.20524334548751555</v>
      </c>
      <c r="AZ201" s="7" t="str">
        <f>"0"</f>
        <v>0</v>
      </c>
      <c r="BA201" t="str">
        <f ca="1">IF((OFFSET($A$1, 201 - 1, 51 - 1)) &gt;= (OFFSET($A$1, 68 - 1, 7 - 1)), "1","0")</f>
        <v>0</v>
      </c>
      <c r="BB201">
        <f ca="1" xml:space="preserve"> IF( AND( OFFSET($A$1, 201 - 1, 52 - 1) = "1", OFFSET($A$1, 201 - 1, 53 - 1) = "1" ), 1, IF( AND( OFFSET($A$1, 201 - 1, 52 - 1) = "1", OFFSET($A$1, 201 - 1, 53 - 1) = "0" ), 2, IF( AND( OFFSET($A$1, 201 - 1, 52 - 1) = "0", OFFSET($A$1, 201 - 1, 53 - 1) = "1" ), 3, 4 ) ) )</f>
        <v>4</v>
      </c>
    </row>
    <row r="202" spans="51:59" x14ac:dyDescent="0.25">
      <c r="AY202" s="7">
        <v>0.20524334548751555</v>
      </c>
      <c r="AZ202" s="7" t="str">
        <f>"1"</f>
        <v>1</v>
      </c>
      <c r="BA202" t="str">
        <f ca="1">IF((OFFSET($A$1, 202 - 1, 51 - 1)) &gt;= (OFFSET($A$1, 68 - 1, 7 - 1)), "1","0")</f>
        <v>0</v>
      </c>
      <c r="BB202">
        <f ca="1" xml:space="preserve"> IF( AND( OFFSET($A$1, 202 - 1, 52 - 1) = "1", OFFSET($A$1, 202 - 1, 53 - 1) = "1" ), 1, IF( AND( OFFSET($A$1, 202 - 1, 52 - 1) = "1", OFFSET($A$1, 202 - 1, 53 - 1) = "0" ), 2, IF( AND( OFFSET($A$1, 202 - 1, 52 - 1) = "0", OFFSET($A$1, 202 - 1, 53 - 1) = "1" ), 3, 4 ) ) )</f>
        <v>2</v>
      </c>
    </row>
    <row r="203" spans="51:59" x14ac:dyDescent="0.25">
      <c r="AY203" s="7">
        <v>0.20524334548751555</v>
      </c>
      <c r="AZ203" s="7" t="str">
        <f>"0"</f>
        <v>0</v>
      </c>
      <c r="BA203" t="str">
        <f ca="1">IF((OFFSET($A$1, 203 - 1, 51 - 1)) &gt;= (OFFSET($A$1, 68 - 1, 7 - 1)), "1","0")</f>
        <v>0</v>
      </c>
      <c r="BB203">
        <f ca="1" xml:space="preserve"> IF( AND( OFFSET($A$1, 203 - 1, 52 - 1) = "1", OFFSET($A$1, 203 - 1, 53 - 1) = "1" ), 1, IF( AND( OFFSET($A$1, 203 - 1, 52 - 1) = "1", OFFSET($A$1, 203 - 1, 53 - 1) = "0" ), 2, IF( AND( OFFSET($A$1, 203 - 1, 52 - 1) = "0", OFFSET($A$1, 203 - 1, 53 - 1) = "1" ), 3, 4 ) ) )</f>
        <v>4</v>
      </c>
    </row>
    <row r="204" spans="51:59" x14ac:dyDescent="0.25">
      <c r="AY204" s="7">
        <v>0.20524334548751555</v>
      </c>
      <c r="AZ204" s="7" t="str">
        <f>"0"</f>
        <v>0</v>
      </c>
      <c r="BA204" t="str">
        <f ca="1">IF((OFFSET($A$1, 204 - 1, 51 - 1)) &gt;= (OFFSET($A$1, 68 - 1, 7 - 1)), "1","0")</f>
        <v>0</v>
      </c>
      <c r="BB204">
        <f ca="1" xml:space="preserve"> IF( AND( OFFSET($A$1, 204 - 1, 52 - 1) = "1", OFFSET($A$1, 204 - 1, 53 - 1) = "1" ), 1, IF( AND( OFFSET($A$1, 204 - 1, 52 - 1) = "1", OFFSET($A$1, 204 - 1, 53 - 1) = "0" ), 2, IF( AND( OFFSET($A$1, 204 - 1, 52 - 1) = "0", OFFSET($A$1, 204 - 1, 53 - 1) = "1" ), 3, 4 ) ) )</f>
        <v>4</v>
      </c>
    </row>
    <row r="205" spans="51:59" x14ac:dyDescent="0.25">
      <c r="AY205" s="7">
        <v>0.16903397659089944</v>
      </c>
      <c r="AZ205" s="7" t="str">
        <f>"1"</f>
        <v>1</v>
      </c>
      <c r="BA205" t="str">
        <f ca="1">IF((OFFSET($A$1, 205 - 1, 51 - 1)) &gt;= (OFFSET($A$1, 68 - 1, 7 - 1)), "1","0")</f>
        <v>0</v>
      </c>
      <c r="BB205">
        <f ca="1" xml:space="preserve"> IF( AND( OFFSET($A$1, 205 - 1, 52 - 1) = "1", OFFSET($A$1, 205 - 1, 53 - 1) = "1" ), 1, IF( AND( OFFSET($A$1, 205 - 1, 52 - 1) = "1", OFFSET($A$1, 205 - 1, 53 - 1) = "0" ), 2, IF( AND( OFFSET($A$1, 205 - 1, 52 - 1) = "0", OFFSET($A$1, 205 - 1, 53 - 1) = "1" ), 3, 4 ) ) )</f>
        <v>2</v>
      </c>
    </row>
    <row r="206" spans="51:59" x14ac:dyDescent="0.25">
      <c r="AY206" s="7">
        <v>0.20524334548751555</v>
      </c>
      <c r="AZ206" s="7" t="str">
        <f>"0"</f>
        <v>0</v>
      </c>
      <c r="BA206" t="str">
        <f ca="1">IF((OFFSET($A$1, 206 - 1, 51 - 1)) &gt;= (OFFSET($A$1, 68 - 1, 7 - 1)), "1","0")</f>
        <v>0</v>
      </c>
      <c r="BB206">
        <f ca="1" xml:space="preserve"> IF( AND( OFFSET($A$1, 206 - 1, 52 - 1) = "1", OFFSET($A$1, 206 - 1, 53 - 1) = "1" ), 1, IF( AND( OFFSET($A$1, 206 - 1, 52 - 1) = "1", OFFSET($A$1, 206 - 1, 53 - 1) = "0" ), 2, IF( AND( OFFSET($A$1, 206 - 1, 52 - 1) = "0", OFFSET($A$1, 206 - 1, 53 - 1) = "1" ), 3, 4 ) ) )</f>
        <v>4</v>
      </c>
    </row>
    <row r="207" spans="51:59" x14ac:dyDescent="0.25">
      <c r="AY207" s="7">
        <v>0.20524334548751555</v>
      </c>
      <c r="AZ207" s="7" t="str">
        <f>"0"</f>
        <v>0</v>
      </c>
      <c r="BA207" t="str">
        <f ca="1">IF((OFFSET($A$1, 207 - 1, 51 - 1)) &gt;= (OFFSET($A$1, 68 - 1, 7 - 1)), "1","0")</f>
        <v>0</v>
      </c>
      <c r="BB207">
        <f ca="1" xml:space="preserve"> IF( AND( OFFSET($A$1, 207 - 1, 52 - 1) = "1", OFFSET($A$1, 207 - 1, 53 - 1) = "1" ), 1, IF( AND( OFFSET($A$1, 207 - 1, 52 - 1) = "1", OFFSET($A$1, 207 - 1, 53 - 1) = "0" ), 2, IF( AND( OFFSET($A$1, 207 - 1, 52 - 1) = "0", OFFSET($A$1, 207 - 1, 53 - 1) = "1" ), 3, 4 ) ) )</f>
        <v>4</v>
      </c>
    </row>
    <row r="208" spans="51:59" x14ac:dyDescent="0.25">
      <c r="AY208" s="7">
        <v>0.20524334548751555</v>
      </c>
      <c r="AZ208" s="7" t="str">
        <f>"0"</f>
        <v>0</v>
      </c>
      <c r="BA208" t="str">
        <f ca="1">IF((OFFSET($A$1, 208 - 1, 51 - 1)) &gt;= (OFFSET($A$1, 68 - 1, 7 - 1)), "1","0")</f>
        <v>0</v>
      </c>
      <c r="BB208">
        <f ca="1" xml:space="preserve"> IF( AND( OFFSET($A$1, 208 - 1, 52 - 1) = "1", OFFSET($A$1, 208 - 1, 53 - 1) = "1" ), 1, IF( AND( OFFSET($A$1, 208 - 1, 52 - 1) = "1", OFFSET($A$1, 208 - 1, 53 - 1) = "0" ), 2, IF( AND( OFFSET($A$1, 208 - 1, 52 - 1) = "0", OFFSET($A$1, 208 - 1, 53 - 1) = "1" ), 3, 4 ) ) )</f>
        <v>4</v>
      </c>
    </row>
    <row r="209" spans="51:54" x14ac:dyDescent="0.25">
      <c r="AY209" s="7">
        <v>0.16903397659089944</v>
      </c>
      <c r="AZ209" s="7" t="str">
        <f>"0"</f>
        <v>0</v>
      </c>
      <c r="BA209" t="str">
        <f ca="1">IF((OFFSET($A$1, 209 - 1, 51 - 1)) &gt;= (OFFSET($A$1, 68 - 1, 7 - 1)), "1","0")</f>
        <v>0</v>
      </c>
      <c r="BB209">
        <f ca="1" xml:space="preserve"> IF( AND( OFFSET($A$1, 209 - 1, 52 - 1) = "1", OFFSET($A$1, 209 - 1, 53 - 1) = "1" ), 1, IF( AND( OFFSET($A$1, 209 - 1, 52 - 1) = "1", OFFSET($A$1, 209 - 1, 53 - 1) = "0" ), 2, IF( AND( OFFSET($A$1, 209 - 1, 52 - 1) = "0", OFFSET($A$1, 209 - 1, 53 - 1) = "1" ), 3, 4 ) ) )</f>
        <v>4</v>
      </c>
    </row>
    <row r="210" spans="51:54" x14ac:dyDescent="0.25">
      <c r="AY210" s="7">
        <v>0.20524334548751555</v>
      </c>
      <c r="AZ210" s="7" t="str">
        <f>"0"</f>
        <v>0</v>
      </c>
      <c r="BA210" t="str">
        <f ca="1">IF((OFFSET($A$1, 210 - 1, 51 - 1)) &gt;= (OFFSET($A$1, 68 - 1, 7 - 1)), "1","0")</f>
        <v>0</v>
      </c>
      <c r="BB210">
        <f ca="1" xml:space="preserve"> IF( AND( OFFSET($A$1, 210 - 1, 52 - 1) = "1", OFFSET($A$1, 210 - 1, 53 - 1) = "1" ), 1, IF( AND( OFFSET($A$1, 210 - 1, 52 - 1) = "1", OFFSET($A$1, 210 - 1, 53 - 1) = "0" ), 2, IF( AND( OFFSET($A$1, 210 - 1, 52 - 1) = "0", OFFSET($A$1, 210 - 1, 53 - 1) = "1" ), 3, 4 ) ) )</f>
        <v>4</v>
      </c>
    </row>
    <row r="211" spans="51:54" x14ac:dyDescent="0.25">
      <c r="AY211" s="7">
        <v>0.16903397659089944</v>
      </c>
      <c r="AZ211" s="7" t="str">
        <f>"0"</f>
        <v>0</v>
      </c>
      <c r="BA211" t="str">
        <f ca="1">IF((OFFSET($A$1, 211 - 1, 51 - 1)) &gt;= (OFFSET($A$1, 68 - 1, 7 - 1)), "1","0")</f>
        <v>0</v>
      </c>
      <c r="BB211">
        <f ca="1" xml:space="preserve"> IF( AND( OFFSET($A$1, 211 - 1, 52 - 1) = "1", OFFSET($A$1, 211 - 1, 53 - 1) = "1" ), 1, IF( AND( OFFSET($A$1, 211 - 1, 52 - 1) = "1", OFFSET($A$1, 211 - 1, 53 - 1) = "0" ), 2, IF( AND( OFFSET($A$1, 211 - 1, 52 - 1) = "0", OFFSET($A$1, 211 - 1, 53 - 1) = "1" ), 3, 4 ) ) )</f>
        <v>4</v>
      </c>
    </row>
    <row r="212" spans="51:54" x14ac:dyDescent="0.25">
      <c r="AY212" s="7">
        <v>0.20524334548751555</v>
      </c>
      <c r="AZ212" s="7" t="str">
        <f>"0"</f>
        <v>0</v>
      </c>
      <c r="BA212" t="str">
        <f ca="1">IF((OFFSET($A$1, 212 - 1, 51 - 1)) &gt;= (OFFSET($A$1, 68 - 1, 7 - 1)), "1","0")</f>
        <v>0</v>
      </c>
      <c r="BB212">
        <f ca="1" xml:space="preserve"> IF( AND( OFFSET($A$1, 212 - 1, 52 - 1) = "1", OFFSET($A$1, 212 - 1, 53 - 1) = "1" ), 1, IF( AND( OFFSET($A$1, 212 - 1, 52 - 1) = "1", OFFSET($A$1, 212 - 1, 53 - 1) = "0" ), 2, IF( AND( OFFSET($A$1, 212 - 1, 52 - 1) = "0", OFFSET($A$1, 212 - 1, 53 - 1) = "1" ), 3, 4 ) ) )</f>
        <v>4</v>
      </c>
    </row>
    <row r="213" spans="51:54" x14ac:dyDescent="0.25">
      <c r="AY213" s="7">
        <v>0.16903397659089944</v>
      </c>
      <c r="AZ213" s="7" t="str">
        <f>"1"</f>
        <v>1</v>
      </c>
      <c r="BA213" t="str">
        <f ca="1">IF((OFFSET($A$1, 213 - 1, 51 - 1)) &gt;= (OFFSET($A$1, 68 - 1, 7 - 1)), "1","0")</f>
        <v>0</v>
      </c>
      <c r="BB213">
        <f ca="1" xml:space="preserve"> IF( AND( OFFSET($A$1, 213 - 1, 52 - 1) = "1", OFFSET($A$1, 213 - 1, 53 - 1) = "1" ), 1, IF( AND( OFFSET($A$1, 213 - 1, 52 - 1) = "1", OFFSET($A$1, 213 - 1, 53 - 1) = "0" ), 2, IF( AND( OFFSET($A$1, 213 - 1, 52 - 1) = "0", OFFSET($A$1, 213 - 1, 53 - 1) = "1" ), 3, 4 ) ) )</f>
        <v>2</v>
      </c>
    </row>
    <row r="214" spans="51:54" x14ac:dyDescent="0.25">
      <c r="AY214" s="7">
        <v>0.20524334548751555</v>
      </c>
      <c r="AZ214" s="7" t="str">
        <f>"0"</f>
        <v>0</v>
      </c>
      <c r="BA214" t="str">
        <f ca="1">IF((OFFSET($A$1, 214 - 1, 51 - 1)) &gt;= (OFFSET($A$1, 68 - 1, 7 - 1)), "1","0")</f>
        <v>0</v>
      </c>
      <c r="BB214">
        <f ca="1" xml:space="preserve"> IF( AND( OFFSET($A$1, 214 - 1, 52 - 1) = "1", OFFSET($A$1, 214 - 1, 53 - 1) = "1" ), 1, IF( AND( OFFSET($A$1, 214 - 1, 52 - 1) = "1", OFFSET($A$1, 214 - 1, 53 - 1) = "0" ), 2, IF( AND( OFFSET($A$1, 214 - 1, 52 - 1) = "0", OFFSET($A$1, 214 - 1, 53 - 1) = "1" ), 3, 4 ) ) )</f>
        <v>4</v>
      </c>
    </row>
    <row r="215" spans="51:54" x14ac:dyDescent="0.25">
      <c r="AY215" s="7">
        <v>0.16903397659089944</v>
      </c>
      <c r="AZ215" s="7" t="str">
        <f>"0"</f>
        <v>0</v>
      </c>
      <c r="BA215" t="str">
        <f ca="1">IF((OFFSET($A$1, 215 - 1, 51 - 1)) &gt;= (OFFSET($A$1, 68 - 1, 7 - 1)), "1","0")</f>
        <v>0</v>
      </c>
      <c r="BB215">
        <f ca="1" xml:space="preserve"> IF( AND( OFFSET($A$1, 215 - 1, 52 - 1) = "1", OFFSET($A$1, 215 - 1, 53 - 1) = "1" ), 1, IF( AND( OFFSET($A$1, 215 - 1, 52 - 1) = "1", OFFSET($A$1, 215 - 1, 53 - 1) = "0" ), 2, IF( AND( OFFSET($A$1, 215 - 1, 52 - 1) = "0", OFFSET($A$1, 215 - 1, 53 - 1) = "1" ), 3, 4 ) ) )</f>
        <v>4</v>
      </c>
    </row>
    <row r="216" spans="51:54" x14ac:dyDescent="0.25">
      <c r="AY216" s="7">
        <v>0.20524334548751555</v>
      </c>
      <c r="AZ216" s="7" t="str">
        <f>"0"</f>
        <v>0</v>
      </c>
      <c r="BA216" t="str">
        <f ca="1">IF((OFFSET($A$1, 216 - 1, 51 - 1)) &gt;= (OFFSET($A$1, 68 - 1, 7 - 1)), "1","0")</f>
        <v>0</v>
      </c>
      <c r="BB216">
        <f ca="1" xml:space="preserve"> IF( AND( OFFSET($A$1, 216 - 1, 52 - 1) = "1", OFFSET($A$1, 216 - 1, 53 - 1) = "1" ), 1, IF( AND( OFFSET($A$1, 216 - 1, 52 - 1) = "1", OFFSET($A$1, 216 - 1, 53 - 1) = "0" ), 2, IF( AND( OFFSET($A$1, 216 - 1, 52 - 1) = "0", OFFSET($A$1, 216 - 1, 53 - 1) = "1" ), 3, 4 ) ) )</f>
        <v>4</v>
      </c>
    </row>
    <row r="217" spans="51:54" x14ac:dyDescent="0.25">
      <c r="AY217" s="7">
        <v>0.16903397659089944</v>
      </c>
      <c r="AZ217" s="7" t="str">
        <f>"0"</f>
        <v>0</v>
      </c>
      <c r="BA217" t="str">
        <f ca="1">IF((OFFSET($A$1, 217 - 1, 51 - 1)) &gt;= (OFFSET($A$1, 68 - 1, 7 - 1)), "1","0")</f>
        <v>0</v>
      </c>
      <c r="BB217">
        <f ca="1" xml:space="preserve"> IF( AND( OFFSET($A$1, 217 - 1, 52 - 1) = "1", OFFSET($A$1, 217 - 1, 53 - 1) = "1" ), 1, IF( AND( OFFSET($A$1, 217 - 1, 52 - 1) = "1", OFFSET($A$1, 217 - 1, 53 - 1) = "0" ), 2, IF( AND( OFFSET($A$1, 217 - 1, 52 - 1) = "0", OFFSET($A$1, 217 - 1, 53 - 1) = "1" ), 3, 4 ) ) )</f>
        <v>4</v>
      </c>
    </row>
    <row r="218" spans="51:54" x14ac:dyDescent="0.25">
      <c r="AY218" s="7">
        <v>0.20524334548751555</v>
      </c>
      <c r="AZ218" s="7" t="str">
        <f>"0"</f>
        <v>0</v>
      </c>
      <c r="BA218" t="str">
        <f ca="1">IF((OFFSET($A$1, 218 - 1, 51 - 1)) &gt;= (OFFSET($A$1, 68 - 1, 7 - 1)), "1","0")</f>
        <v>0</v>
      </c>
      <c r="BB218">
        <f ca="1" xml:space="preserve"> IF( AND( OFFSET($A$1, 218 - 1, 52 - 1) = "1", OFFSET($A$1, 218 - 1, 53 - 1) = "1" ), 1, IF( AND( OFFSET($A$1, 218 - 1, 52 - 1) = "1", OFFSET($A$1, 218 - 1, 53 - 1) = "0" ), 2, IF( AND( OFFSET($A$1, 218 - 1, 52 - 1) = "0", OFFSET($A$1, 218 - 1, 53 - 1) = "1" ), 3, 4 ) ) )</f>
        <v>4</v>
      </c>
    </row>
    <row r="219" spans="51:54" x14ac:dyDescent="0.25">
      <c r="AY219" s="7">
        <v>0.20524334548751555</v>
      </c>
      <c r="AZ219" s="7" t="str">
        <f>"0"</f>
        <v>0</v>
      </c>
      <c r="BA219" t="str">
        <f ca="1">IF((OFFSET($A$1, 219 - 1, 51 - 1)) &gt;= (OFFSET($A$1, 68 - 1, 7 - 1)), "1","0")</f>
        <v>0</v>
      </c>
      <c r="BB219">
        <f ca="1" xml:space="preserve"> IF( AND( OFFSET($A$1, 219 - 1, 52 - 1) = "1", OFFSET($A$1, 219 - 1, 53 - 1) = "1" ), 1, IF( AND( OFFSET($A$1, 219 - 1, 52 - 1) = "1", OFFSET($A$1, 219 - 1, 53 - 1) = "0" ), 2, IF( AND( OFFSET($A$1, 219 - 1, 52 - 1) = "0", OFFSET($A$1, 219 - 1, 53 - 1) = "1" ), 3, 4 ) ) )</f>
        <v>4</v>
      </c>
    </row>
    <row r="220" spans="51:54" x14ac:dyDescent="0.25">
      <c r="AY220" s="7">
        <v>0.16903397659089944</v>
      </c>
      <c r="AZ220" s="7" t="str">
        <f>"0"</f>
        <v>0</v>
      </c>
      <c r="BA220" t="str">
        <f ca="1">IF((OFFSET($A$1, 220 - 1, 51 - 1)) &gt;= (OFFSET($A$1, 68 - 1, 7 - 1)), "1","0")</f>
        <v>0</v>
      </c>
      <c r="BB220">
        <f ca="1" xml:space="preserve"> IF( AND( OFFSET($A$1, 220 - 1, 52 - 1) = "1", OFFSET($A$1, 220 - 1, 53 - 1) = "1" ), 1, IF( AND( OFFSET($A$1, 220 - 1, 52 - 1) = "1", OFFSET($A$1, 220 - 1, 53 - 1) = "0" ), 2, IF( AND( OFFSET($A$1, 220 - 1, 52 - 1) = "0", OFFSET($A$1, 220 - 1, 53 - 1) = "1" ), 3, 4 ) ) )</f>
        <v>4</v>
      </c>
    </row>
    <row r="221" spans="51:54" x14ac:dyDescent="0.25">
      <c r="AY221" s="7">
        <v>0.20524334548751555</v>
      </c>
      <c r="AZ221" s="7" t="str">
        <f>"0"</f>
        <v>0</v>
      </c>
      <c r="BA221" t="str">
        <f ca="1">IF((OFFSET($A$1, 221 - 1, 51 - 1)) &gt;= (OFFSET($A$1, 68 - 1, 7 - 1)), "1","0")</f>
        <v>0</v>
      </c>
      <c r="BB221">
        <f ca="1" xml:space="preserve"> IF( AND( OFFSET($A$1, 221 - 1, 52 - 1) = "1", OFFSET($A$1, 221 - 1, 53 - 1) = "1" ), 1, IF( AND( OFFSET($A$1, 221 - 1, 52 - 1) = "1", OFFSET($A$1, 221 - 1, 53 - 1) = "0" ), 2, IF( AND( OFFSET($A$1, 221 - 1, 52 - 1) = "0", OFFSET($A$1, 221 - 1, 53 - 1) = "1" ), 3, 4 ) ) )</f>
        <v>4</v>
      </c>
    </row>
    <row r="222" spans="51:54" x14ac:dyDescent="0.25">
      <c r="AY222" s="7">
        <v>0.20524334548751555</v>
      </c>
      <c r="AZ222" s="7" t="str">
        <f>"0"</f>
        <v>0</v>
      </c>
      <c r="BA222" t="str">
        <f ca="1">IF((OFFSET($A$1, 222 - 1, 51 - 1)) &gt;= (OFFSET($A$1, 68 - 1, 7 - 1)), "1","0")</f>
        <v>0</v>
      </c>
      <c r="BB222">
        <f ca="1" xml:space="preserve"> IF( AND( OFFSET($A$1, 222 - 1, 52 - 1) = "1", OFFSET($A$1, 222 - 1, 53 - 1) = "1" ), 1, IF( AND( OFFSET($A$1, 222 - 1, 52 - 1) = "1", OFFSET($A$1, 222 - 1, 53 - 1) = "0" ), 2, IF( AND( OFFSET($A$1, 222 - 1, 52 - 1) = "0", OFFSET($A$1, 222 - 1, 53 - 1) = "1" ), 3, 4 ) ) )</f>
        <v>4</v>
      </c>
    </row>
    <row r="223" spans="51:54" x14ac:dyDescent="0.25">
      <c r="AY223" s="7">
        <v>0.20524334548751555</v>
      </c>
      <c r="AZ223" s="7" t="str">
        <f>"0"</f>
        <v>0</v>
      </c>
      <c r="BA223" t="str">
        <f ca="1">IF((OFFSET($A$1, 223 - 1, 51 - 1)) &gt;= (OFFSET($A$1, 68 - 1, 7 - 1)), "1","0")</f>
        <v>0</v>
      </c>
      <c r="BB223">
        <f ca="1" xml:space="preserve"> IF( AND( OFFSET($A$1, 223 - 1, 52 - 1) = "1", OFFSET($A$1, 223 - 1, 53 - 1) = "1" ), 1, IF( AND( OFFSET($A$1, 223 - 1, 52 - 1) = "1", OFFSET($A$1, 223 - 1, 53 - 1) = "0" ), 2, IF( AND( OFFSET($A$1, 223 - 1, 52 - 1) = "0", OFFSET($A$1, 223 - 1, 53 - 1) = "1" ), 3, 4 ) ) )</f>
        <v>4</v>
      </c>
    </row>
    <row r="224" spans="51:54" x14ac:dyDescent="0.25">
      <c r="AY224" s="7">
        <v>0.16903397659089944</v>
      </c>
      <c r="AZ224" s="7" t="str">
        <f>"0"</f>
        <v>0</v>
      </c>
      <c r="BA224" t="str">
        <f ca="1">IF((OFFSET($A$1, 224 - 1, 51 - 1)) &gt;= (OFFSET($A$1, 68 - 1, 7 - 1)), "1","0")</f>
        <v>0</v>
      </c>
      <c r="BB224">
        <f ca="1" xml:space="preserve"> IF( AND( OFFSET($A$1, 224 - 1, 52 - 1) = "1", OFFSET($A$1, 224 - 1, 53 - 1) = "1" ), 1, IF( AND( OFFSET($A$1, 224 - 1, 52 - 1) = "1", OFFSET($A$1, 224 - 1, 53 - 1) = "0" ), 2, IF( AND( OFFSET($A$1, 224 - 1, 52 - 1) = "0", OFFSET($A$1, 224 - 1, 53 - 1) = "1" ), 3, 4 ) ) )</f>
        <v>4</v>
      </c>
    </row>
    <row r="225" spans="51:54" x14ac:dyDescent="0.25">
      <c r="AY225" s="7">
        <v>0.20524334548751555</v>
      </c>
      <c r="AZ225" s="7" t="str">
        <f>"0"</f>
        <v>0</v>
      </c>
      <c r="BA225" t="str">
        <f ca="1">IF((OFFSET($A$1, 225 - 1, 51 - 1)) &gt;= (OFFSET($A$1, 68 - 1, 7 - 1)), "1","0")</f>
        <v>0</v>
      </c>
      <c r="BB225">
        <f ca="1" xml:space="preserve"> IF( AND( OFFSET($A$1, 225 - 1, 52 - 1) = "1", OFFSET($A$1, 225 - 1, 53 - 1) = "1" ), 1, IF( AND( OFFSET($A$1, 225 - 1, 52 - 1) = "1", OFFSET($A$1, 225 - 1, 53 - 1) = "0" ), 2, IF( AND( OFFSET($A$1, 225 - 1, 52 - 1) = "0", OFFSET($A$1, 225 - 1, 53 - 1) = "1" ), 3, 4 ) ) )</f>
        <v>4</v>
      </c>
    </row>
    <row r="226" spans="51:54" x14ac:dyDescent="0.25">
      <c r="AY226" s="7">
        <v>0.16903397659089944</v>
      </c>
      <c r="AZ226" s="7" t="str">
        <f>"0"</f>
        <v>0</v>
      </c>
      <c r="BA226" t="str">
        <f ca="1">IF((OFFSET($A$1, 226 - 1, 51 - 1)) &gt;= (OFFSET($A$1, 68 - 1, 7 - 1)), "1","0")</f>
        <v>0</v>
      </c>
      <c r="BB226">
        <f ca="1" xml:space="preserve"> IF( AND( OFFSET($A$1, 226 - 1, 52 - 1) = "1", OFFSET($A$1, 226 - 1, 53 - 1) = "1" ), 1, IF( AND( OFFSET($A$1, 226 - 1, 52 - 1) = "1", OFFSET($A$1, 226 - 1, 53 - 1) = "0" ), 2, IF( AND( OFFSET($A$1, 226 - 1, 52 - 1) = "0", OFFSET($A$1, 226 - 1, 53 - 1) = "1" ), 3, 4 ) ) )</f>
        <v>4</v>
      </c>
    </row>
    <row r="227" spans="51:54" x14ac:dyDescent="0.25">
      <c r="AY227" s="7">
        <v>0.20524334548751555</v>
      </c>
      <c r="AZ227" s="7" t="str">
        <f>"0"</f>
        <v>0</v>
      </c>
      <c r="BA227" t="str">
        <f ca="1">IF((OFFSET($A$1, 227 - 1, 51 - 1)) &gt;= (OFFSET($A$1, 68 - 1, 7 - 1)), "1","0")</f>
        <v>0</v>
      </c>
      <c r="BB227">
        <f ca="1" xml:space="preserve"> IF( AND( OFFSET($A$1, 227 - 1, 52 - 1) = "1", OFFSET($A$1, 227 - 1, 53 - 1) = "1" ), 1, IF( AND( OFFSET($A$1, 227 - 1, 52 - 1) = "1", OFFSET($A$1, 227 - 1, 53 - 1) = "0" ), 2, IF( AND( OFFSET($A$1, 227 - 1, 52 - 1) = "0", OFFSET($A$1, 227 - 1, 53 - 1) = "1" ), 3, 4 ) ) )</f>
        <v>4</v>
      </c>
    </row>
    <row r="228" spans="51:54" x14ac:dyDescent="0.25">
      <c r="AY228" s="7">
        <v>0.20524334548751555</v>
      </c>
      <c r="AZ228" s="7" t="str">
        <f>"0"</f>
        <v>0</v>
      </c>
      <c r="BA228" t="str">
        <f ca="1">IF((OFFSET($A$1, 228 - 1, 51 - 1)) &gt;= (OFFSET($A$1, 68 - 1, 7 - 1)), "1","0")</f>
        <v>0</v>
      </c>
      <c r="BB228">
        <f ca="1" xml:space="preserve"> IF( AND( OFFSET($A$1, 228 - 1, 52 - 1) = "1", OFFSET($A$1, 228 - 1, 53 - 1) = "1" ), 1, IF( AND( OFFSET($A$1, 228 - 1, 52 - 1) = "1", OFFSET($A$1, 228 - 1, 53 - 1) = "0" ), 2, IF( AND( OFFSET($A$1, 228 - 1, 52 - 1) = "0", OFFSET($A$1, 228 - 1, 53 - 1) = "1" ), 3, 4 ) ) )</f>
        <v>4</v>
      </c>
    </row>
    <row r="229" spans="51:54" x14ac:dyDescent="0.25">
      <c r="AY229" s="7">
        <v>0.20524334548751555</v>
      </c>
      <c r="AZ229" s="7" t="str">
        <f>"0"</f>
        <v>0</v>
      </c>
      <c r="BA229" t="str">
        <f ca="1">IF((OFFSET($A$1, 229 - 1, 51 - 1)) &gt;= (OFFSET($A$1, 68 - 1, 7 - 1)), "1","0")</f>
        <v>0</v>
      </c>
      <c r="BB229">
        <f ca="1" xml:space="preserve"> IF( AND( OFFSET($A$1, 229 - 1, 52 - 1) = "1", OFFSET($A$1, 229 - 1, 53 - 1) = "1" ), 1, IF( AND( OFFSET($A$1, 229 - 1, 52 - 1) = "1", OFFSET($A$1, 229 - 1, 53 - 1) = "0" ), 2, IF( AND( OFFSET($A$1, 229 - 1, 52 - 1) = "0", OFFSET($A$1, 229 - 1, 53 - 1) = "1" ), 3, 4 ) ) )</f>
        <v>4</v>
      </c>
    </row>
    <row r="230" spans="51:54" x14ac:dyDescent="0.25">
      <c r="AY230" s="7">
        <v>0.20524334548751555</v>
      </c>
      <c r="AZ230" s="7" t="str">
        <f>"0"</f>
        <v>0</v>
      </c>
      <c r="BA230" t="str">
        <f ca="1">IF((OFFSET($A$1, 230 - 1, 51 - 1)) &gt;= (OFFSET($A$1, 68 - 1, 7 - 1)), "1","0")</f>
        <v>0</v>
      </c>
      <c r="BB230">
        <f ca="1" xml:space="preserve"> IF( AND( OFFSET($A$1, 230 - 1, 52 - 1) = "1", OFFSET($A$1, 230 - 1, 53 - 1) = "1" ), 1, IF( AND( OFFSET($A$1, 230 - 1, 52 - 1) = "1", OFFSET($A$1, 230 - 1, 53 - 1) = "0" ), 2, IF( AND( OFFSET($A$1, 230 - 1, 52 - 1) = "0", OFFSET($A$1, 230 - 1, 53 - 1) = "1" ), 3, 4 ) ) )</f>
        <v>4</v>
      </c>
    </row>
    <row r="231" spans="51:54" x14ac:dyDescent="0.25">
      <c r="AY231" s="7">
        <v>0.20524334548751555</v>
      </c>
      <c r="AZ231" s="7" t="str">
        <f>"1"</f>
        <v>1</v>
      </c>
      <c r="BA231" t="str">
        <f ca="1">IF((OFFSET($A$1, 231 - 1, 51 - 1)) &gt;= (OFFSET($A$1, 68 - 1, 7 - 1)), "1","0")</f>
        <v>0</v>
      </c>
      <c r="BB231">
        <f ca="1" xml:space="preserve"> IF( AND( OFFSET($A$1, 231 - 1, 52 - 1) = "1", OFFSET($A$1, 231 - 1, 53 - 1) = "1" ), 1, IF( AND( OFFSET($A$1, 231 - 1, 52 - 1) = "1", OFFSET($A$1, 231 - 1, 53 - 1) = "0" ), 2, IF( AND( OFFSET($A$1, 231 - 1, 52 - 1) = "0", OFFSET($A$1, 231 - 1, 53 - 1) = "1" ), 3, 4 ) ) )</f>
        <v>2</v>
      </c>
    </row>
    <row r="232" spans="51:54" x14ac:dyDescent="0.25">
      <c r="AY232" s="7">
        <v>0.20524334548751555</v>
      </c>
      <c r="AZ232" s="7" t="str">
        <f>"0"</f>
        <v>0</v>
      </c>
      <c r="BA232" t="str">
        <f ca="1">IF((OFFSET($A$1, 232 - 1, 51 - 1)) &gt;= (OFFSET($A$1, 68 - 1, 7 - 1)), "1","0")</f>
        <v>0</v>
      </c>
      <c r="BB232">
        <f ca="1" xml:space="preserve"> IF( AND( OFFSET($A$1, 232 - 1, 52 - 1) = "1", OFFSET($A$1, 232 - 1, 53 - 1) = "1" ), 1, IF( AND( OFFSET($A$1, 232 - 1, 52 - 1) = "1", OFFSET($A$1, 232 - 1, 53 - 1) = "0" ), 2, IF( AND( OFFSET($A$1, 232 - 1, 52 - 1) = "0", OFFSET($A$1, 232 - 1, 53 - 1) = "1" ), 3, 4 ) ) )</f>
        <v>4</v>
      </c>
    </row>
    <row r="233" spans="51:54" x14ac:dyDescent="0.25">
      <c r="AY233" s="7">
        <v>0.16903397659089944</v>
      </c>
      <c r="AZ233" s="7" t="str">
        <f>"0"</f>
        <v>0</v>
      </c>
      <c r="BA233" t="str">
        <f ca="1">IF((OFFSET($A$1, 233 - 1, 51 - 1)) &gt;= (OFFSET($A$1, 68 - 1, 7 - 1)), "1","0")</f>
        <v>0</v>
      </c>
      <c r="BB233">
        <f ca="1" xml:space="preserve"> IF( AND( OFFSET($A$1, 233 - 1, 52 - 1) = "1", OFFSET($A$1, 233 - 1, 53 - 1) = "1" ), 1, IF( AND( OFFSET($A$1, 233 - 1, 52 - 1) = "1", OFFSET($A$1, 233 - 1, 53 - 1) = "0" ), 2, IF( AND( OFFSET($A$1, 233 - 1, 52 - 1) = "0", OFFSET($A$1, 233 - 1, 53 - 1) = "1" ), 3, 4 ) ) )</f>
        <v>4</v>
      </c>
    </row>
    <row r="234" spans="51:54" x14ac:dyDescent="0.25">
      <c r="AY234" s="7">
        <v>0.20524334548751555</v>
      </c>
      <c r="AZ234" s="7" t="str">
        <f>"0"</f>
        <v>0</v>
      </c>
      <c r="BA234" t="str">
        <f ca="1">IF((OFFSET($A$1, 234 - 1, 51 - 1)) &gt;= (OFFSET($A$1, 68 - 1, 7 - 1)), "1","0")</f>
        <v>0</v>
      </c>
      <c r="BB234">
        <f ca="1" xml:space="preserve"> IF( AND( OFFSET($A$1, 234 - 1, 52 - 1) = "1", OFFSET($A$1, 234 - 1, 53 - 1) = "1" ), 1, IF( AND( OFFSET($A$1, 234 - 1, 52 - 1) = "1", OFFSET($A$1, 234 - 1, 53 - 1) = "0" ), 2, IF( AND( OFFSET($A$1, 234 - 1, 52 - 1) = "0", OFFSET($A$1, 234 - 1, 53 - 1) = "1" ), 3, 4 ) ) )</f>
        <v>4</v>
      </c>
    </row>
    <row r="235" spans="51:54" x14ac:dyDescent="0.25">
      <c r="AY235" s="7">
        <v>0.16903397659089944</v>
      </c>
      <c r="AZ235" s="7" t="str">
        <f>"0"</f>
        <v>0</v>
      </c>
      <c r="BA235" t="str">
        <f ca="1">IF((OFFSET($A$1, 235 - 1, 51 - 1)) &gt;= (OFFSET($A$1, 68 - 1, 7 - 1)), "1","0")</f>
        <v>0</v>
      </c>
      <c r="BB235">
        <f ca="1" xml:space="preserve"> IF( AND( OFFSET($A$1, 235 - 1, 52 - 1) = "1", OFFSET($A$1, 235 - 1, 53 - 1) = "1" ), 1, IF( AND( OFFSET($A$1, 235 - 1, 52 - 1) = "1", OFFSET($A$1, 235 - 1, 53 - 1) = "0" ), 2, IF( AND( OFFSET($A$1, 235 - 1, 52 - 1) = "0", OFFSET($A$1, 235 - 1, 53 - 1) = "1" ), 3, 4 ) ) )</f>
        <v>4</v>
      </c>
    </row>
    <row r="236" spans="51:54" x14ac:dyDescent="0.25">
      <c r="AY236" s="7">
        <v>0.20524334548751555</v>
      </c>
      <c r="AZ236" s="7" t="str">
        <f>"0"</f>
        <v>0</v>
      </c>
      <c r="BA236" t="str">
        <f ca="1">IF((OFFSET($A$1, 236 - 1, 51 - 1)) &gt;= (OFFSET($A$1, 68 - 1, 7 - 1)), "1","0")</f>
        <v>0</v>
      </c>
      <c r="BB236">
        <f ca="1" xml:space="preserve"> IF( AND( OFFSET($A$1, 236 - 1, 52 - 1) = "1", OFFSET($A$1, 236 - 1, 53 - 1) = "1" ), 1, IF( AND( OFFSET($A$1, 236 - 1, 52 - 1) = "1", OFFSET($A$1, 236 - 1, 53 - 1) = "0" ), 2, IF( AND( OFFSET($A$1, 236 - 1, 52 - 1) = "0", OFFSET($A$1, 236 - 1, 53 - 1) = "1" ), 3, 4 ) ) )</f>
        <v>4</v>
      </c>
    </row>
    <row r="237" spans="51:54" x14ac:dyDescent="0.25">
      <c r="AY237" s="7">
        <v>0.20524334548751555</v>
      </c>
      <c r="AZ237" s="7" t="str">
        <f>"0"</f>
        <v>0</v>
      </c>
      <c r="BA237" t="str">
        <f ca="1">IF((OFFSET($A$1, 237 - 1, 51 - 1)) &gt;= (OFFSET($A$1, 68 - 1, 7 - 1)), "1","0")</f>
        <v>0</v>
      </c>
      <c r="BB237">
        <f ca="1" xml:space="preserve"> IF( AND( OFFSET($A$1, 237 - 1, 52 - 1) = "1", OFFSET($A$1, 237 - 1, 53 - 1) = "1" ), 1, IF( AND( OFFSET($A$1, 237 - 1, 52 - 1) = "1", OFFSET($A$1, 237 - 1, 53 - 1) = "0" ), 2, IF( AND( OFFSET($A$1, 237 - 1, 52 - 1) = "0", OFFSET($A$1, 237 - 1, 53 - 1) = "1" ), 3, 4 ) ) )</f>
        <v>4</v>
      </c>
    </row>
    <row r="238" spans="51:54" x14ac:dyDescent="0.25">
      <c r="AY238" s="7">
        <v>0.16903397659089944</v>
      </c>
      <c r="AZ238" s="7" t="str">
        <f>"0"</f>
        <v>0</v>
      </c>
      <c r="BA238" t="str">
        <f ca="1">IF((OFFSET($A$1, 238 - 1, 51 - 1)) &gt;= (OFFSET($A$1, 68 - 1, 7 - 1)), "1","0")</f>
        <v>0</v>
      </c>
      <c r="BB238">
        <f ca="1" xml:space="preserve"> IF( AND( OFFSET($A$1, 238 - 1, 52 - 1) = "1", OFFSET($A$1, 238 - 1, 53 - 1) = "1" ), 1, IF( AND( OFFSET($A$1, 238 - 1, 52 - 1) = "1", OFFSET($A$1, 238 - 1, 53 - 1) = "0" ), 2, IF( AND( OFFSET($A$1, 238 - 1, 52 - 1) = "0", OFFSET($A$1, 238 - 1, 53 - 1) = "1" ), 3, 4 ) ) )</f>
        <v>4</v>
      </c>
    </row>
    <row r="239" spans="51:54" x14ac:dyDescent="0.25">
      <c r="AY239" s="7">
        <v>0.20524334548751555</v>
      </c>
      <c r="AZ239" s="7" t="str">
        <f>"0"</f>
        <v>0</v>
      </c>
      <c r="BA239" t="str">
        <f ca="1">IF((OFFSET($A$1, 239 - 1, 51 - 1)) &gt;= (OFFSET($A$1, 68 - 1, 7 - 1)), "1","0")</f>
        <v>0</v>
      </c>
      <c r="BB239">
        <f ca="1" xml:space="preserve"> IF( AND( OFFSET($A$1, 239 - 1, 52 - 1) = "1", OFFSET($A$1, 239 - 1, 53 - 1) = "1" ), 1, IF( AND( OFFSET($A$1, 239 - 1, 52 - 1) = "1", OFFSET($A$1, 239 - 1, 53 - 1) = "0" ), 2, IF( AND( OFFSET($A$1, 239 - 1, 52 - 1) = "0", OFFSET($A$1, 239 - 1, 53 - 1) = "1" ), 3, 4 ) ) )</f>
        <v>4</v>
      </c>
    </row>
    <row r="240" spans="51:54" x14ac:dyDescent="0.25">
      <c r="AY240" s="7">
        <v>0.20524334548751555</v>
      </c>
      <c r="AZ240" s="7" t="str">
        <f>"0"</f>
        <v>0</v>
      </c>
      <c r="BA240" t="str">
        <f ca="1">IF((OFFSET($A$1, 240 - 1, 51 - 1)) &gt;= (OFFSET($A$1, 68 - 1, 7 - 1)), "1","0")</f>
        <v>0</v>
      </c>
      <c r="BB240">
        <f ca="1" xml:space="preserve"> IF( AND( OFFSET($A$1, 240 - 1, 52 - 1) = "1", OFFSET($A$1, 240 - 1, 53 - 1) = "1" ), 1, IF( AND( OFFSET($A$1, 240 - 1, 52 - 1) = "1", OFFSET($A$1, 240 - 1, 53 - 1) = "0" ), 2, IF( AND( OFFSET($A$1, 240 - 1, 52 - 1) = "0", OFFSET($A$1, 240 - 1, 53 - 1) = "1" ), 3, 4 ) ) )</f>
        <v>4</v>
      </c>
    </row>
    <row r="241" spans="51:54" x14ac:dyDescent="0.25">
      <c r="AY241" s="7">
        <v>0.20524334548751555</v>
      </c>
      <c r="AZ241" s="7" t="str">
        <f>"0"</f>
        <v>0</v>
      </c>
      <c r="BA241" t="str">
        <f ca="1">IF((OFFSET($A$1, 241 - 1, 51 - 1)) &gt;= (OFFSET($A$1, 68 - 1, 7 - 1)), "1","0")</f>
        <v>0</v>
      </c>
      <c r="BB241">
        <f ca="1" xml:space="preserve"> IF( AND( OFFSET($A$1, 241 - 1, 52 - 1) = "1", OFFSET($A$1, 241 - 1, 53 - 1) = "1" ), 1, IF( AND( OFFSET($A$1, 241 - 1, 52 - 1) = "1", OFFSET($A$1, 241 - 1, 53 - 1) = "0" ), 2, IF( AND( OFFSET($A$1, 241 - 1, 52 - 1) = "0", OFFSET($A$1, 241 - 1, 53 - 1) = "1" ), 3, 4 ) ) )</f>
        <v>4</v>
      </c>
    </row>
    <row r="242" spans="51:54" x14ac:dyDescent="0.25">
      <c r="AY242" s="7">
        <v>0.20524334548751555</v>
      </c>
      <c r="AZ242" s="7" t="str">
        <f>"0"</f>
        <v>0</v>
      </c>
      <c r="BA242" t="str">
        <f ca="1">IF((OFFSET($A$1, 242 - 1, 51 - 1)) &gt;= (OFFSET($A$1, 68 - 1, 7 - 1)), "1","0")</f>
        <v>0</v>
      </c>
      <c r="BB242">
        <f ca="1" xml:space="preserve"> IF( AND( OFFSET($A$1, 242 - 1, 52 - 1) = "1", OFFSET($A$1, 242 - 1, 53 - 1) = "1" ), 1, IF( AND( OFFSET($A$1, 242 - 1, 52 - 1) = "1", OFFSET($A$1, 242 - 1, 53 - 1) = "0" ), 2, IF( AND( OFFSET($A$1, 242 - 1, 52 - 1) = "0", OFFSET($A$1, 242 - 1, 53 - 1) = "1" ), 3, 4 ) ) )</f>
        <v>4</v>
      </c>
    </row>
    <row r="243" spans="51:54" x14ac:dyDescent="0.25">
      <c r="AY243" s="7">
        <v>0.20524334548751555</v>
      </c>
      <c r="AZ243" s="7" t="str">
        <f>"0"</f>
        <v>0</v>
      </c>
      <c r="BA243" t="str">
        <f ca="1">IF((OFFSET($A$1, 243 - 1, 51 - 1)) &gt;= (OFFSET($A$1, 68 - 1, 7 - 1)), "1","0")</f>
        <v>0</v>
      </c>
      <c r="BB243">
        <f ca="1" xml:space="preserve"> IF( AND( OFFSET($A$1, 243 - 1, 52 - 1) = "1", OFFSET($A$1, 243 - 1, 53 - 1) = "1" ), 1, IF( AND( OFFSET($A$1, 243 - 1, 52 - 1) = "1", OFFSET($A$1, 243 - 1, 53 - 1) = "0" ), 2, IF( AND( OFFSET($A$1, 243 - 1, 52 - 1) = "0", OFFSET($A$1, 243 - 1, 53 - 1) = "1" ), 3, 4 ) ) )</f>
        <v>4</v>
      </c>
    </row>
    <row r="244" spans="51:54" x14ac:dyDescent="0.25">
      <c r="AY244" s="7">
        <v>0.20524334548751555</v>
      </c>
      <c r="AZ244" s="7" t="str">
        <f>"0"</f>
        <v>0</v>
      </c>
      <c r="BA244" t="str">
        <f ca="1">IF((OFFSET($A$1, 244 - 1, 51 - 1)) &gt;= (OFFSET($A$1, 68 - 1, 7 - 1)), "1","0")</f>
        <v>0</v>
      </c>
      <c r="BB244">
        <f ca="1" xml:space="preserve"> IF( AND( OFFSET($A$1, 244 - 1, 52 - 1) = "1", OFFSET($A$1, 244 - 1, 53 - 1) = "1" ), 1, IF( AND( OFFSET($A$1, 244 - 1, 52 - 1) = "1", OFFSET($A$1, 244 - 1, 53 - 1) = "0" ), 2, IF( AND( OFFSET($A$1, 244 - 1, 52 - 1) = "0", OFFSET($A$1, 244 - 1, 53 - 1) = "1" ), 3, 4 ) ) )</f>
        <v>4</v>
      </c>
    </row>
    <row r="245" spans="51:54" x14ac:dyDescent="0.25">
      <c r="AY245" s="7">
        <v>0.16903397659089944</v>
      </c>
      <c r="AZ245" s="7" t="str">
        <f>"1"</f>
        <v>1</v>
      </c>
      <c r="BA245" t="str">
        <f ca="1">IF((OFFSET($A$1, 245 - 1, 51 - 1)) &gt;= (OFFSET($A$1, 68 - 1, 7 - 1)), "1","0")</f>
        <v>0</v>
      </c>
      <c r="BB245">
        <f ca="1" xml:space="preserve"> IF( AND( OFFSET($A$1, 245 - 1, 52 - 1) = "1", OFFSET($A$1, 245 - 1, 53 - 1) = "1" ), 1, IF( AND( OFFSET($A$1, 245 - 1, 52 - 1) = "1", OFFSET($A$1, 245 - 1, 53 - 1) = "0" ), 2, IF( AND( OFFSET($A$1, 245 - 1, 52 - 1) = "0", OFFSET($A$1, 245 - 1, 53 - 1) = "1" ), 3, 4 ) ) )</f>
        <v>2</v>
      </c>
    </row>
    <row r="246" spans="51:54" x14ac:dyDescent="0.25">
      <c r="AY246" s="7">
        <v>0.20524334548751555</v>
      </c>
      <c r="AZ246" s="7" t="str">
        <f>"0"</f>
        <v>0</v>
      </c>
      <c r="BA246" t="str">
        <f ca="1">IF((OFFSET($A$1, 246 - 1, 51 - 1)) &gt;= (OFFSET($A$1, 68 - 1, 7 - 1)), "1","0")</f>
        <v>0</v>
      </c>
      <c r="BB246">
        <f ca="1" xml:space="preserve"> IF( AND( OFFSET($A$1, 246 - 1, 52 - 1) = "1", OFFSET($A$1, 246 - 1, 53 - 1) = "1" ), 1, IF( AND( OFFSET($A$1, 246 - 1, 52 - 1) = "1", OFFSET($A$1, 246 - 1, 53 - 1) = "0" ), 2, IF( AND( OFFSET($A$1, 246 - 1, 52 - 1) = "0", OFFSET($A$1, 246 - 1, 53 - 1) = "1" ), 3, 4 ) ) )</f>
        <v>4</v>
      </c>
    </row>
    <row r="247" spans="51:54" x14ac:dyDescent="0.25">
      <c r="AY247" s="7">
        <v>0.20524334548751555</v>
      </c>
      <c r="AZ247" s="7" t="str">
        <f>"0"</f>
        <v>0</v>
      </c>
      <c r="BA247" t="str">
        <f ca="1">IF((OFFSET($A$1, 247 - 1, 51 - 1)) &gt;= (OFFSET($A$1, 68 - 1, 7 - 1)), "1","0")</f>
        <v>0</v>
      </c>
      <c r="BB247">
        <f ca="1" xml:space="preserve"> IF( AND( OFFSET($A$1, 247 - 1, 52 - 1) = "1", OFFSET($A$1, 247 - 1, 53 - 1) = "1" ), 1, IF( AND( OFFSET($A$1, 247 - 1, 52 - 1) = "1", OFFSET($A$1, 247 - 1, 53 - 1) = "0" ), 2, IF( AND( OFFSET($A$1, 247 - 1, 52 - 1) = "0", OFFSET($A$1, 247 - 1, 53 - 1) = "1" ), 3, 4 ) ) )</f>
        <v>4</v>
      </c>
    </row>
    <row r="248" spans="51:54" x14ac:dyDescent="0.25">
      <c r="AY248" s="7">
        <v>0.16903397659089944</v>
      </c>
      <c r="AZ248" s="7" t="str">
        <f>"1"</f>
        <v>1</v>
      </c>
      <c r="BA248" t="str">
        <f ca="1">IF((OFFSET($A$1, 248 - 1, 51 - 1)) &gt;= (OFFSET($A$1, 68 - 1, 7 - 1)), "1","0")</f>
        <v>0</v>
      </c>
      <c r="BB248">
        <f ca="1" xml:space="preserve"> IF( AND( OFFSET($A$1, 248 - 1, 52 - 1) = "1", OFFSET($A$1, 248 - 1, 53 - 1) = "1" ), 1, IF( AND( OFFSET($A$1, 248 - 1, 52 - 1) = "1", OFFSET($A$1, 248 - 1, 53 - 1) = "0" ), 2, IF( AND( OFFSET($A$1, 248 - 1, 52 - 1) = "0", OFFSET($A$1, 248 - 1, 53 - 1) = "1" ), 3, 4 ) ) )</f>
        <v>2</v>
      </c>
    </row>
    <row r="249" spans="51:54" x14ac:dyDescent="0.25">
      <c r="AY249" s="7">
        <v>0.20524334548751555</v>
      </c>
      <c r="AZ249" s="7" t="str">
        <f>"1"</f>
        <v>1</v>
      </c>
      <c r="BA249" t="str">
        <f ca="1">IF((OFFSET($A$1, 249 - 1, 51 - 1)) &gt;= (OFFSET($A$1, 68 - 1, 7 - 1)), "1","0")</f>
        <v>0</v>
      </c>
      <c r="BB249">
        <f ca="1" xml:space="preserve"> IF( AND( OFFSET($A$1, 249 - 1, 52 - 1) = "1", OFFSET($A$1, 249 - 1, 53 - 1) = "1" ), 1, IF( AND( OFFSET($A$1, 249 - 1, 52 - 1) = "1", OFFSET($A$1, 249 - 1, 53 - 1) = "0" ), 2, IF( AND( OFFSET($A$1, 249 - 1, 52 - 1) = "0", OFFSET($A$1, 249 - 1, 53 - 1) = "1" ), 3, 4 ) ) )</f>
        <v>2</v>
      </c>
    </row>
    <row r="250" spans="51:54" x14ac:dyDescent="0.25">
      <c r="AY250" s="7">
        <v>0.20524334548751555</v>
      </c>
      <c r="AZ250" s="7" t="str">
        <f>"0"</f>
        <v>0</v>
      </c>
      <c r="BA250" t="str">
        <f ca="1">IF((OFFSET($A$1, 250 - 1, 51 - 1)) &gt;= (OFFSET($A$1, 68 - 1, 7 - 1)), "1","0")</f>
        <v>0</v>
      </c>
      <c r="BB250">
        <f ca="1" xml:space="preserve"> IF( AND( OFFSET($A$1, 250 - 1, 52 - 1) = "1", OFFSET($A$1, 250 - 1, 53 - 1) = "1" ), 1, IF( AND( OFFSET($A$1, 250 - 1, 52 - 1) = "1", OFFSET($A$1, 250 - 1, 53 - 1) = "0" ), 2, IF( AND( OFFSET($A$1, 250 - 1, 52 - 1) = "0", OFFSET($A$1, 250 - 1, 53 - 1) = "1" ), 3, 4 ) ) )</f>
        <v>4</v>
      </c>
    </row>
    <row r="251" spans="51:54" x14ac:dyDescent="0.25">
      <c r="AY251" s="7">
        <v>0.16903397659089944</v>
      </c>
      <c r="AZ251" s="7" t="str">
        <f>"0"</f>
        <v>0</v>
      </c>
      <c r="BA251" t="str">
        <f ca="1">IF((OFFSET($A$1, 251 - 1, 51 - 1)) &gt;= (OFFSET($A$1, 68 - 1, 7 - 1)), "1","0")</f>
        <v>0</v>
      </c>
      <c r="BB251">
        <f ca="1" xml:space="preserve"> IF( AND( OFFSET($A$1, 251 - 1, 52 - 1) = "1", OFFSET($A$1, 251 - 1, 53 - 1) = "1" ), 1, IF( AND( OFFSET($A$1, 251 - 1, 52 - 1) = "1", OFFSET($A$1, 251 - 1, 53 - 1) = "0" ), 2, IF( AND( OFFSET($A$1, 251 - 1, 52 - 1) = "0", OFFSET($A$1, 251 - 1, 53 - 1) = "1" ), 3, 4 ) ) )</f>
        <v>4</v>
      </c>
    </row>
    <row r="252" spans="51:54" x14ac:dyDescent="0.25">
      <c r="AY252" s="7">
        <v>0.20524334548751555</v>
      </c>
      <c r="AZ252" s="7" t="str">
        <f>"0"</f>
        <v>0</v>
      </c>
      <c r="BA252" t="str">
        <f ca="1">IF((OFFSET($A$1, 252 - 1, 51 - 1)) &gt;= (OFFSET($A$1, 68 - 1, 7 - 1)), "1","0")</f>
        <v>0</v>
      </c>
      <c r="BB252">
        <f ca="1" xml:space="preserve"> IF( AND( OFFSET($A$1, 252 - 1, 52 - 1) = "1", OFFSET($A$1, 252 - 1, 53 - 1) = "1" ), 1, IF( AND( OFFSET($A$1, 252 - 1, 52 - 1) = "1", OFFSET($A$1, 252 - 1, 53 - 1) = "0" ), 2, IF( AND( OFFSET($A$1, 252 - 1, 52 - 1) = "0", OFFSET($A$1, 252 - 1, 53 - 1) = "1" ), 3, 4 ) ) )</f>
        <v>4</v>
      </c>
    </row>
    <row r="253" spans="51:54" x14ac:dyDescent="0.25">
      <c r="AY253" s="7">
        <v>0.16903397659089944</v>
      </c>
      <c r="AZ253" s="7" t="str">
        <f>"0"</f>
        <v>0</v>
      </c>
      <c r="BA253" t="str">
        <f ca="1">IF((OFFSET($A$1, 253 - 1, 51 - 1)) &gt;= (OFFSET($A$1, 68 - 1, 7 - 1)), "1","0")</f>
        <v>0</v>
      </c>
      <c r="BB253">
        <f ca="1" xml:space="preserve"> IF( AND( OFFSET($A$1, 253 - 1, 52 - 1) = "1", OFFSET($A$1, 253 - 1, 53 - 1) = "1" ), 1, IF( AND( OFFSET($A$1, 253 - 1, 52 - 1) = "1", OFFSET($A$1, 253 - 1, 53 - 1) = "0" ), 2, IF( AND( OFFSET($A$1, 253 - 1, 52 - 1) = "0", OFFSET($A$1, 253 - 1, 53 - 1) = "1" ), 3, 4 ) ) )</f>
        <v>4</v>
      </c>
    </row>
    <row r="254" spans="51:54" x14ac:dyDescent="0.25">
      <c r="AY254" s="7">
        <v>0.20524334548751555</v>
      </c>
      <c r="AZ254" s="7" t="str">
        <f>"0"</f>
        <v>0</v>
      </c>
      <c r="BA254" t="str">
        <f ca="1">IF((OFFSET($A$1, 254 - 1, 51 - 1)) &gt;= (OFFSET($A$1, 68 - 1, 7 - 1)), "1","0")</f>
        <v>0</v>
      </c>
      <c r="BB254">
        <f ca="1" xml:space="preserve"> IF( AND( OFFSET($A$1, 254 - 1, 52 - 1) = "1", OFFSET($A$1, 254 - 1, 53 - 1) = "1" ), 1, IF( AND( OFFSET($A$1, 254 - 1, 52 - 1) = "1", OFFSET($A$1, 254 - 1, 53 - 1) = "0" ), 2, IF( AND( OFFSET($A$1, 254 - 1, 52 - 1) = "0", OFFSET($A$1, 254 - 1, 53 - 1) = "1" ), 3, 4 ) ) )</f>
        <v>4</v>
      </c>
    </row>
    <row r="255" spans="51:54" x14ac:dyDescent="0.25">
      <c r="AY255" s="7">
        <v>0.20524334548751555</v>
      </c>
      <c r="AZ255" s="7" t="str">
        <f>"1"</f>
        <v>1</v>
      </c>
      <c r="BA255" t="str">
        <f ca="1">IF((OFFSET($A$1, 255 - 1, 51 - 1)) &gt;= (OFFSET($A$1, 68 - 1, 7 - 1)), "1","0")</f>
        <v>0</v>
      </c>
      <c r="BB255">
        <f ca="1" xml:space="preserve"> IF( AND( OFFSET($A$1, 255 - 1, 52 - 1) = "1", OFFSET($A$1, 255 - 1, 53 - 1) = "1" ), 1, IF( AND( OFFSET($A$1, 255 - 1, 52 - 1) = "1", OFFSET($A$1, 255 - 1, 53 - 1) = "0" ), 2, IF( AND( OFFSET($A$1, 255 - 1, 52 - 1) = "0", OFFSET($A$1, 255 - 1, 53 - 1) = "1" ), 3, 4 ) ) )</f>
        <v>2</v>
      </c>
    </row>
    <row r="256" spans="51:54" x14ac:dyDescent="0.25">
      <c r="AY256" s="7">
        <v>0.20524334548751555</v>
      </c>
      <c r="AZ256" s="7" t="str">
        <f>"1"</f>
        <v>1</v>
      </c>
      <c r="BA256" t="str">
        <f ca="1">IF((OFFSET($A$1, 256 - 1, 51 - 1)) &gt;= (OFFSET($A$1, 68 - 1, 7 - 1)), "1","0")</f>
        <v>0</v>
      </c>
      <c r="BB256">
        <f ca="1" xml:space="preserve"> IF( AND( OFFSET($A$1, 256 - 1, 52 - 1) = "1", OFFSET($A$1, 256 - 1, 53 - 1) = "1" ), 1, IF( AND( OFFSET($A$1, 256 - 1, 52 - 1) = "1", OFFSET($A$1, 256 - 1, 53 - 1) = "0" ), 2, IF( AND( OFFSET($A$1, 256 - 1, 52 - 1) = "0", OFFSET($A$1, 256 - 1, 53 - 1) = "1" ), 3, 4 ) ) )</f>
        <v>2</v>
      </c>
    </row>
    <row r="257" spans="51:54" x14ac:dyDescent="0.25">
      <c r="AY257" s="7">
        <v>0.20524334548751555</v>
      </c>
      <c r="AZ257" s="7" t="str">
        <f>"0"</f>
        <v>0</v>
      </c>
      <c r="BA257" t="str">
        <f ca="1">IF((OFFSET($A$1, 257 - 1, 51 - 1)) &gt;= (OFFSET($A$1, 68 - 1, 7 - 1)), "1","0")</f>
        <v>0</v>
      </c>
      <c r="BB257">
        <f ca="1" xml:space="preserve"> IF( AND( OFFSET($A$1, 257 - 1, 52 - 1) = "1", OFFSET($A$1, 257 - 1, 53 - 1) = "1" ), 1, IF( AND( OFFSET($A$1, 257 - 1, 52 - 1) = "1", OFFSET($A$1, 257 - 1, 53 - 1) = "0" ), 2, IF( AND( OFFSET($A$1, 257 - 1, 52 - 1) = "0", OFFSET($A$1, 257 - 1, 53 - 1) = "1" ), 3, 4 ) ) )</f>
        <v>4</v>
      </c>
    </row>
    <row r="258" spans="51:54" x14ac:dyDescent="0.25">
      <c r="AY258" s="7">
        <v>0.20524334548751555</v>
      </c>
      <c r="AZ258" s="7" t="str">
        <f>"0"</f>
        <v>0</v>
      </c>
      <c r="BA258" t="str">
        <f ca="1">IF((OFFSET($A$1, 258 - 1, 51 - 1)) &gt;= (OFFSET($A$1, 68 - 1, 7 - 1)), "1","0")</f>
        <v>0</v>
      </c>
      <c r="BB258">
        <f ca="1" xml:space="preserve"> IF( AND( OFFSET($A$1, 258 - 1, 52 - 1) = "1", OFFSET($A$1, 258 - 1, 53 - 1) = "1" ), 1, IF( AND( OFFSET($A$1, 258 - 1, 52 - 1) = "1", OFFSET($A$1, 258 - 1, 53 - 1) = "0" ), 2, IF( AND( OFFSET($A$1, 258 - 1, 52 - 1) = "0", OFFSET($A$1, 258 - 1, 53 - 1) = "1" ), 3, 4 ) ) )</f>
        <v>4</v>
      </c>
    </row>
    <row r="259" spans="51:54" x14ac:dyDescent="0.25">
      <c r="AY259" s="7">
        <v>0.16903397659089944</v>
      </c>
      <c r="AZ259" s="7" t="str">
        <f>"0"</f>
        <v>0</v>
      </c>
      <c r="BA259" t="str">
        <f ca="1">IF((OFFSET($A$1, 259 - 1, 51 - 1)) &gt;= (OFFSET($A$1, 68 - 1, 7 - 1)), "1","0")</f>
        <v>0</v>
      </c>
      <c r="BB259">
        <f ca="1" xml:space="preserve"> IF( AND( OFFSET($A$1, 259 - 1, 52 - 1) = "1", OFFSET($A$1, 259 - 1, 53 - 1) = "1" ), 1, IF( AND( OFFSET($A$1, 259 - 1, 52 - 1) = "1", OFFSET($A$1, 259 - 1, 53 - 1) = "0" ), 2, IF( AND( OFFSET($A$1, 259 - 1, 52 - 1) = "0", OFFSET($A$1, 259 - 1, 53 - 1) = "1" ), 3, 4 ) ) )</f>
        <v>4</v>
      </c>
    </row>
    <row r="260" spans="51:54" x14ac:dyDescent="0.25">
      <c r="AY260" s="7">
        <v>0.16903397659089944</v>
      </c>
      <c r="AZ260" s="7" t="str">
        <f>"0"</f>
        <v>0</v>
      </c>
      <c r="BA260" t="str">
        <f ca="1">IF((OFFSET($A$1, 260 - 1, 51 - 1)) &gt;= (OFFSET($A$1, 68 - 1, 7 - 1)), "1","0")</f>
        <v>0</v>
      </c>
      <c r="BB260">
        <f ca="1" xml:space="preserve"> IF( AND( OFFSET($A$1, 260 - 1, 52 - 1) = "1", OFFSET($A$1, 260 - 1, 53 - 1) = "1" ), 1, IF( AND( OFFSET($A$1, 260 - 1, 52 - 1) = "1", OFFSET($A$1, 260 - 1, 53 - 1) = "0" ), 2, IF( AND( OFFSET($A$1, 260 - 1, 52 - 1) = "0", OFFSET($A$1, 260 - 1, 53 - 1) = "1" ), 3, 4 ) ) )</f>
        <v>4</v>
      </c>
    </row>
    <row r="261" spans="51:54" x14ac:dyDescent="0.25">
      <c r="AY261" s="7">
        <v>0.16903397659089944</v>
      </c>
      <c r="AZ261" s="7" t="str">
        <f>"0"</f>
        <v>0</v>
      </c>
      <c r="BA261" t="str">
        <f ca="1">IF((OFFSET($A$1, 261 - 1, 51 - 1)) &gt;= (OFFSET($A$1, 68 - 1, 7 - 1)), "1","0")</f>
        <v>0</v>
      </c>
      <c r="BB261">
        <f ca="1" xml:space="preserve"> IF( AND( OFFSET($A$1, 261 - 1, 52 - 1) = "1", OFFSET($A$1, 261 - 1, 53 - 1) = "1" ), 1, IF( AND( OFFSET($A$1, 261 - 1, 52 - 1) = "1", OFFSET($A$1, 261 - 1, 53 - 1) = "0" ), 2, IF( AND( OFFSET($A$1, 261 - 1, 52 - 1) = "0", OFFSET($A$1, 261 - 1, 53 - 1) = "1" ), 3, 4 ) ) )</f>
        <v>4</v>
      </c>
    </row>
    <row r="262" spans="51:54" x14ac:dyDescent="0.25">
      <c r="AY262" s="7">
        <v>0.20524334548751555</v>
      </c>
      <c r="AZ262" s="7" t="str">
        <f>"0"</f>
        <v>0</v>
      </c>
      <c r="BA262" t="str">
        <f ca="1">IF((OFFSET($A$1, 262 - 1, 51 - 1)) &gt;= (OFFSET($A$1, 68 - 1, 7 - 1)), "1","0")</f>
        <v>0</v>
      </c>
      <c r="BB262">
        <f ca="1" xml:space="preserve"> IF( AND( OFFSET($A$1, 262 - 1, 52 - 1) = "1", OFFSET($A$1, 262 - 1, 53 - 1) = "1" ), 1, IF( AND( OFFSET($A$1, 262 - 1, 52 - 1) = "1", OFFSET($A$1, 262 - 1, 53 - 1) = "0" ), 2, IF( AND( OFFSET($A$1, 262 - 1, 52 - 1) = "0", OFFSET($A$1, 262 - 1, 53 - 1) = "1" ), 3, 4 ) ) )</f>
        <v>4</v>
      </c>
    </row>
    <row r="263" spans="51:54" x14ac:dyDescent="0.25">
      <c r="AY263" s="7">
        <v>0.20524334548751555</v>
      </c>
      <c r="AZ263" s="7" t="str">
        <f>"0"</f>
        <v>0</v>
      </c>
      <c r="BA263" t="str">
        <f ca="1">IF((OFFSET($A$1, 263 - 1, 51 - 1)) &gt;= (OFFSET($A$1, 68 - 1, 7 - 1)), "1","0")</f>
        <v>0</v>
      </c>
      <c r="BB263">
        <f ca="1" xml:space="preserve"> IF( AND( OFFSET($A$1, 263 - 1, 52 - 1) = "1", OFFSET($A$1, 263 - 1, 53 - 1) = "1" ), 1, IF( AND( OFFSET($A$1, 263 - 1, 52 - 1) = "1", OFFSET($A$1, 263 - 1, 53 - 1) = "0" ), 2, IF( AND( OFFSET($A$1, 263 - 1, 52 - 1) = "0", OFFSET($A$1, 263 - 1, 53 - 1) = "1" ), 3, 4 ) ) )</f>
        <v>4</v>
      </c>
    </row>
    <row r="264" spans="51:54" x14ac:dyDescent="0.25">
      <c r="AY264" s="7">
        <v>0.20524334548751555</v>
      </c>
      <c r="AZ264" s="7" t="str">
        <f>"0"</f>
        <v>0</v>
      </c>
      <c r="BA264" t="str">
        <f ca="1">IF((OFFSET($A$1, 264 - 1, 51 - 1)) &gt;= (OFFSET($A$1, 68 - 1, 7 - 1)), "1","0")</f>
        <v>0</v>
      </c>
      <c r="BB264">
        <f ca="1" xml:space="preserve"> IF( AND( OFFSET($A$1, 264 - 1, 52 - 1) = "1", OFFSET($A$1, 264 - 1, 53 - 1) = "1" ), 1, IF( AND( OFFSET($A$1, 264 - 1, 52 - 1) = "1", OFFSET($A$1, 264 - 1, 53 - 1) = "0" ), 2, IF( AND( OFFSET($A$1, 264 - 1, 52 - 1) = "0", OFFSET($A$1, 264 - 1, 53 - 1) = "1" ), 3, 4 ) ) )</f>
        <v>4</v>
      </c>
    </row>
    <row r="265" spans="51:54" x14ac:dyDescent="0.25">
      <c r="AY265" s="7">
        <v>0.20524334548751555</v>
      </c>
      <c r="AZ265" s="7" t="str">
        <f>"0"</f>
        <v>0</v>
      </c>
      <c r="BA265" t="str">
        <f ca="1">IF((OFFSET($A$1, 265 - 1, 51 - 1)) &gt;= (OFFSET($A$1, 68 - 1, 7 - 1)), "1","0")</f>
        <v>0</v>
      </c>
      <c r="BB265">
        <f ca="1" xml:space="preserve"> IF( AND( OFFSET($A$1, 265 - 1, 52 - 1) = "1", OFFSET($A$1, 265 - 1, 53 - 1) = "1" ), 1, IF( AND( OFFSET($A$1, 265 - 1, 52 - 1) = "1", OFFSET($A$1, 265 - 1, 53 - 1) = "0" ), 2, IF( AND( OFFSET($A$1, 265 - 1, 52 - 1) = "0", OFFSET($A$1, 265 - 1, 53 - 1) = "1" ), 3, 4 ) ) )</f>
        <v>4</v>
      </c>
    </row>
    <row r="266" spans="51:54" x14ac:dyDescent="0.25">
      <c r="AY266" s="7">
        <v>0.20524334548751555</v>
      </c>
      <c r="AZ266" s="7" t="str">
        <f>"0"</f>
        <v>0</v>
      </c>
      <c r="BA266" t="str">
        <f ca="1">IF((OFFSET($A$1, 266 - 1, 51 - 1)) &gt;= (OFFSET($A$1, 68 - 1, 7 - 1)), "1","0")</f>
        <v>0</v>
      </c>
      <c r="BB266">
        <f ca="1" xml:space="preserve"> IF( AND( OFFSET($A$1, 266 - 1, 52 - 1) = "1", OFFSET($A$1, 266 - 1, 53 - 1) = "1" ), 1, IF( AND( OFFSET($A$1, 266 - 1, 52 - 1) = "1", OFFSET($A$1, 266 - 1, 53 - 1) = "0" ), 2, IF( AND( OFFSET($A$1, 266 - 1, 52 - 1) = "0", OFFSET($A$1, 266 - 1, 53 - 1) = "1" ), 3, 4 ) ) )</f>
        <v>4</v>
      </c>
    </row>
    <row r="267" spans="51:54" x14ac:dyDescent="0.25">
      <c r="AY267" s="7">
        <v>0.16903397659089944</v>
      </c>
      <c r="AZ267" s="7" t="str">
        <f>"0"</f>
        <v>0</v>
      </c>
      <c r="BA267" t="str">
        <f ca="1">IF((OFFSET($A$1, 267 - 1, 51 - 1)) &gt;= (OFFSET($A$1, 68 - 1, 7 - 1)), "1","0")</f>
        <v>0</v>
      </c>
      <c r="BB267">
        <f ca="1" xml:space="preserve"> IF( AND( OFFSET($A$1, 267 - 1, 52 - 1) = "1", OFFSET($A$1, 267 - 1, 53 - 1) = "1" ), 1, IF( AND( OFFSET($A$1, 267 - 1, 52 - 1) = "1", OFFSET($A$1, 267 - 1, 53 - 1) = "0" ), 2, IF( AND( OFFSET($A$1, 267 - 1, 52 - 1) = "0", OFFSET($A$1, 267 - 1, 53 - 1) = "1" ), 3, 4 ) ) )</f>
        <v>4</v>
      </c>
    </row>
    <row r="268" spans="51:54" x14ac:dyDescent="0.25">
      <c r="AY268" s="7">
        <v>0.16903397659089944</v>
      </c>
      <c r="AZ268" s="7" t="str">
        <f>"0"</f>
        <v>0</v>
      </c>
      <c r="BA268" t="str">
        <f ca="1">IF((OFFSET($A$1, 268 - 1, 51 - 1)) &gt;= (OFFSET($A$1, 68 - 1, 7 - 1)), "1","0")</f>
        <v>0</v>
      </c>
      <c r="BB268">
        <f ca="1" xml:space="preserve"> IF( AND( OFFSET($A$1, 268 - 1, 52 - 1) = "1", OFFSET($A$1, 268 - 1, 53 - 1) = "1" ), 1, IF( AND( OFFSET($A$1, 268 - 1, 52 - 1) = "1", OFFSET($A$1, 268 - 1, 53 - 1) = "0" ), 2, IF( AND( OFFSET($A$1, 268 - 1, 52 - 1) = "0", OFFSET($A$1, 268 - 1, 53 - 1) = "1" ), 3, 4 ) ) )</f>
        <v>4</v>
      </c>
    </row>
    <row r="269" spans="51:54" x14ac:dyDescent="0.25">
      <c r="AY269" s="7">
        <v>0.20524334548751555</v>
      </c>
      <c r="AZ269" s="7" t="str">
        <f>"0"</f>
        <v>0</v>
      </c>
      <c r="BA269" t="str">
        <f ca="1">IF((OFFSET($A$1, 269 - 1, 51 - 1)) &gt;= (OFFSET($A$1, 68 - 1, 7 - 1)), "1","0")</f>
        <v>0</v>
      </c>
      <c r="BB269">
        <f ca="1" xml:space="preserve"> IF( AND( OFFSET($A$1, 269 - 1, 52 - 1) = "1", OFFSET($A$1, 269 - 1, 53 - 1) = "1" ), 1, IF( AND( OFFSET($A$1, 269 - 1, 52 - 1) = "1", OFFSET($A$1, 269 - 1, 53 - 1) = "0" ), 2, IF( AND( OFFSET($A$1, 269 - 1, 52 - 1) = "0", OFFSET($A$1, 269 - 1, 53 - 1) = "1" ), 3, 4 ) ) )</f>
        <v>4</v>
      </c>
    </row>
    <row r="270" spans="51:54" x14ac:dyDescent="0.25">
      <c r="AY270" s="7">
        <v>0.20524334548751555</v>
      </c>
      <c r="AZ270" s="7" t="str">
        <f>"0"</f>
        <v>0</v>
      </c>
      <c r="BA270" t="str">
        <f ca="1">IF((OFFSET($A$1, 270 - 1, 51 - 1)) &gt;= (OFFSET($A$1, 68 - 1, 7 - 1)), "1","0")</f>
        <v>0</v>
      </c>
      <c r="BB270">
        <f ca="1" xml:space="preserve"> IF( AND( OFFSET($A$1, 270 - 1, 52 - 1) = "1", OFFSET($A$1, 270 - 1, 53 - 1) = "1" ), 1, IF( AND( OFFSET($A$1, 270 - 1, 52 - 1) = "1", OFFSET($A$1, 270 - 1, 53 - 1) = "0" ), 2, IF( AND( OFFSET($A$1, 270 - 1, 52 - 1) = "0", OFFSET($A$1, 270 - 1, 53 - 1) = "1" ), 3, 4 ) ) )</f>
        <v>4</v>
      </c>
    </row>
    <row r="271" spans="51:54" x14ac:dyDescent="0.25">
      <c r="AY271" s="7">
        <v>0.20524334548751555</v>
      </c>
      <c r="AZ271" s="7" t="str">
        <f>"0"</f>
        <v>0</v>
      </c>
      <c r="BA271" t="str">
        <f ca="1">IF((OFFSET($A$1, 271 - 1, 51 - 1)) &gt;= (OFFSET($A$1, 68 - 1, 7 - 1)), "1","0")</f>
        <v>0</v>
      </c>
      <c r="BB271">
        <f ca="1" xml:space="preserve"> IF( AND( OFFSET($A$1, 271 - 1, 52 - 1) = "1", OFFSET($A$1, 271 - 1, 53 - 1) = "1" ), 1, IF( AND( OFFSET($A$1, 271 - 1, 52 - 1) = "1", OFFSET($A$1, 271 - 1, 53 - 1) = "0" ), 2, IF( AND( OFFSET($A$1, 271 - 1, 52 - 1) = "0", OFFSET($A$1, 271 - 1, 53 - 1) = "1" ), 3, 4 ) ) )</f>
        <v>4</v>
      </c>
    </row>
    <row r="272" spans="51:54" x14ac:dyDescent="0.25">
      <c r="AY272" s="7">
        <v>0.20524334548751555</v>
      </c>
      <c r="AZ272" s="7" t="str">
        <f>"1"</f>
        <v>1</v>
      </c>
      <c r="BA272" t="str">
        <f ca="1">IF((OFFSET($A$1, 272 - 1, 51 - 1)) &gt;= (OFFSET($A$1, 68 - 1, 7 - 1)), "1","0")</f>
        <v>0</v>
      </c>
      <c r="BB272">
        <f ca="1" xml:space="preserve"> IF( AND( OFFSET($A$1, 272 - 1, 52 - 1) = "1", OFFSET($A$1, 272 - 1, 53 - 1) = "1" ), 1, IF( AND( OFFSET($A$1, 272 - 1, 52 - 1) = "1", OFFSET($A$1, 272 - 1, 53 - 1) = "0" ), 2, IF( AND( OFFSET($A$1, 272 - 1, 52 - 1) = "0", OFFSET($A$1, 272 - 1, 53 - 1) = "1" ), 3, 4 ) ) )</f>
        <v>2</v>
      </c>
    </row>
    <row r="273" spans="51:54" x14ac:dyDescent="0.25">
      <c r="AY273" s="7">
        <v>0.20524334548751555</v>
      </c>
      <c r="AZ273" s="7" t="str">
        <f>"0"</f>
        <v>0</v>
      </c>
      <c r="BA273" t="str">
        <f ca="1">IF((OFFSET($A$1, 273 - 1, 51 - 1)) &gt;= (OFFSET($A$1, 68 - 1, 7 - 1)), "1","0")</f>
        <v>0</v>
      </c>
      <c r="BB273">
        <f ca="1" xml:space="preserve"> IF( AND( OFFSET($A$1, 273 - 1, 52 - 1) = "1", OFFSET($A$1, 273 - 1, 53 - 1) = "1" ), 1, IF( AND( OFFSET($A$1, 273 - 1, 52 - 1) = "1", OFFSET($A$1, 273 - 1, 53 - 1) = "0" ), 2, IF( AND( OFFSET($A$1, 273 - 1, 52 - 1) = "0", OFFSET($A$1, 273 - 1, 53 - 1) = "1" ), 3, 4 ) ) )</f>
        <v>4</v>
      </c>
    </row>
    <row r="274" spans="51:54" x14ac:dyDescent="0.25">
      <c r="AY274" s="7">
        <v>0.16903397659089944</v>
      </c>
      <c r="AZ274" s="7" t="str">
        <f>"0"</f>
        <v>0</v>
      </c>
      <c r="BA274" t="str">
        <f ca="1">IF((OFFSET($A$1, 274 - 1, 51 - 1)) &gt;= (OFFSET($A$1, 68 - 1, 7 - 1)), "1","0")</f>
        <v>0</v>
      </c>
      <c r="BB274">
        <f ca="1" xml:space="preserve"> IF( AND( OFFSET($A$1, 274 - 1, 52 - 1) = "1", OFFSET($A$1, 274 - 1, 53 - 1) = "1" ), 1, IF( AND( OFFSET($A$1, 274 - 1, 52 - 1) = "1", OFFSET($A$1, 274 - 1, 53 - 1) = "0" ), 2, IF( AND( OFFSET($A$1, 274 - 1, 52 - 1) = "0", OFFSET($A$1, 274 - 1, 53 - 1) = "1" ), 3, 4 ) ) )</f>
        <v>4</v>
      </c>
    </row>
    <row r="275" spans="51:54" x14ac:dyDescent="0.25">
      <c r="AY275" s="7">
        <v>0.16903397659089944</v>
      </c>
      <c r="AZ275" s="7" t="str">
        <f>"1"</f>
        <v>1</v>
      </c>
      <c r="BA275" t="str">
        <f ca="1">IF((OFFSET($A$1, 275 - 1, 51 - 1)) &gt;= (OFFSET($A$1, 68 - 1, 7 - 1)), "1","0")</f>
        <v>0</v>
      </c>
      <c r="BB275">
        <f ca="1" xml:space="preserve"> IF( AND( OFFSET($A$1, 275 - 1, 52 - 1) = "1", OFFSET($A$1, 275 - 1, 53 - 1) = "1" ), 1, IF( AND( OFFSET($A$1, 275 - 1, 52 - 1) = "1", OFFSET($A$1, 275 - 1, 53 - 1) = "0" ), 2, IF( AND( OFFSET($A$1, 275 - 1, 52 - 1) = "0", OFFSET($A$1, 275 - 1, 53 - 1) = "1" ), 3, 4 ) ) )</f>
        <v>2</v>
      </c>
    </row>
    <row r="276" spans="51:54" x14ac:dyDescent="0.25">
      <c r="AY276" s="7">
        <v>0.16903397659089944</v>
      </c>
      <c r="AZ276" s="7" t="str">
        <f>"0"</f>
        <v>0</v>
      </c>
      <c r="BA276" t="str">
        <f ca="1">IF((OFFSET($A$1, 276 - 1, 51 - 1)) &gt;= (OFFSET($A$1, 68 - 1, 7 - 1)), "1","0")</f>
        <v>0</v>
      </c>
      <c r="BB276">
        <f ca="1" xml:space="preserve"> IF( AND( OFFSET($A$1, 276 - 1, 52 - 1) = "1", OFFSET($A$1, 276 - 1, 53 - 1) = "1" ), 1, IF( AND( OFFSET($A$1, 276 - 1, 52 - 1) = "1", OFFSET($A$1, 276 - 1, 53 - 1) = "0" ), 2, IF( AND( OFFSET($A$1, 276 - 1, 52 - 1) = "0", OFFSET($A$1, 276 - 1, 53 - 1) = "1" ), 3, 4 ) ) )</f>
        <v>4</v>
      </c>
    </row>
    <row r="277" spans="51:54" x14ac:dyDescent="0.25">
      <c r="AY277" s="7">
        <v>0.16903397659089944</v>
      </c>
      <c r="AZ277" s="7" t="str">
        <f>"0"</f>
        <v>0</v>
      </c>
      <c r="BA277" t="str">
        <f ca="1">IF((OFFSET($A$1, 277 - 1, 51 - 1)) &gt;= (OFFSET($A$1, 68 - 1, 7 - 1)), "1","0")</f>
        <v>0</v>
      </c>
      <c r="BB277">
        <f ca="1" xml:space="preserve"> IF( AND( OFFSET($A$1, 277 - 1, 52 - 1) = "1", OFFSET($A$1, 277 - 1, 53 - 1) = "1" ), 1, IF( AND( OFFSET($A$1, 277 - 1, 52 - 1) = "1", OFFSET($A$1, 277 - 1, 53 - 1) = "0" ), 2, IF( AND( OFFSET($A$1, 277 - 1, 52 - 1) = "0", OFFSET($A$1, 277 - 1, 53 - 1) = "1" ), 3, 4 ) ) )</f>
        <v>4</v>
      </c>
    </row>
    <row r="278" spans="51:54" x14ac:dyDescent="0.25">
      <c r="AY278" s="7">
        <v>0.20524334548751555</v>
      </c>
      <c r="AZ278" s="7" t="str">
        <f>"0"</f>
        <v>0</v>
      </c>
      <c r="BA278" t="str">
        <f ca="1">IF((OFFSET($A$1, 278 - 1, 51 - 1)) &gt;= (OFFSET($A$1, 68 - 1, 7 - 1)), "1","0")</f>
        <v>0</v>
      </c>
      <c r="BB278">
        <f ca="1" xml:space="preserve"> IF( AND( OFFSET($A$1, 278 - 1, 52 - 1) = "1", OFFSET($A$1, 278 - 1, 53 - 1) = "1" ), 1, IF( AND( OFFSET($A$1, 278 - 1, 52 - 1) = "1", OFFSET($A$1, 278 - 1, 53 - 1) = "0" ), 2, IF( AND( OFFSET($A$1, 278 - 1, 52 - 1) = "0", OFFSET($A$1, 278 - 1, 53 - 1) = "1" ), 3, 4 ) ) )</f>
        <v>4</v>
      </c>
    </row>
    <row r="279" spans="51:54" x14ac:dyDescent="0.25">
      <c r="AY279" s="7">
        <v>0.20524334548751555</v>
      </c>
      <c r="AZ279" s="7" t="str">
        <f>"0"</f>
        <v>0</v>
      </c>
      <c r="BA279" t="str">
        <f ca="1">IF((OFFSET($A$1, 279 - 1, 51 - 1)) &gt;= (OFFSET($A$1, 68 - 1, 7 - 1)), "1","0")</f>
        <v>0</v>
      </c>
      <c r="BB279">
        <f ca="1" xml:space="preserve"> IF( AND( OFFSET($A$1, 279 - 1, 52 - 1) = "1", OFFSET($A$1, 279 - 1, 53 - 1) = "1" ), 1, IF( AND( OFFSET($A$1, 279 - 1, 52 - 1) = "1", OFFSET($A$1, 279 - 1, 53 - 1) = "0" ), 2, IF( AND( OFFSET($A$1, 279 - 1, 52 - 1) = "0", OFFSET($A$1, 279 - 1, 53 - 1) = "1" ), 3, 4 ) ) )</f>
        <v>4</v>
      </c>
    </row>
    <row r="280" spans="51:54" x14ac:dyDescent="0.25">
      <c r="AY280" s="7">
        <v>0.20524334548751555</v>
      </c>
      <c r="AZ280" s="7" t="str">
        <f>"1"</f>
        <v>1</v>
      </c>
      <c r="BA280" t="str">
        <f ca="1">IF((OFFSET($A$1, 280 - 1, 51 - 1)) &gt;= (OFFSET($A$1, 68 - 1, 7 - 1)), "1","0")</f>
        <v>0</v>
      </c>
      <c r="BB280">
        <f ca="1" xml:space="preserve"> IF( AND( OFFSET($A$1, 280 - 1, 52 - 1) = "1", OFFSET($A$1, 280 - 1, 53 - 1) = "1" ), 1, IF( AND( OFFSET($A$1, 280 - 1, 52 - 1) = "1", OFFSET($A$1, 280 - 1, 53 - 1) = "0" ), 2, IF( AND( OFFSET($A$1, 280 - 1, 52 - 1) = "0", OFFSET($A$1, 280 - 1, 53 - 1) = "1" ), 3, 4 ) ) )</f>
        <v>2</v>
      </c>
    </row>
    <row r="281" spans="51:54" x14ac:dyDescent="0.25">
      <c r="AY281" s="7">
        <v>0.16903397659089944</v>
      </c>
      <c r="AZ281" s="7" t="str">
        <f>"1"</f>
        <v>1</v>
      </c>
      <c r="BA281" t="str">
        <f ca="1">IF((OFFSET($A$1, 281 - 1, 51 - 1)) &gt;= (OFFSET($A$1, 68 - 1, 7 - 1)), "1","0")</f>
        <v>0</v>
      </c>
      <c r="BB281">
        <f ca="1" xml:space="preserve"> IF( AND( OFFSET($A$1, 281 - 1, 52 - 1) = "1", OFFSET($A$1, 281 - 1, 53 - 1) = "1" ), 1, IF( AND( OFFSET($A$1, 281 - 1, 52 - 1) = "1", OFFSET($A$1, 281 - 1, 53 - 1) = "0" ), 2, IF( AND( OFFSET($A$1, 281 - 1, 52 - 1) = "0", OFFSET($A$1, 281 - 1, 53 - 1) = "1" ), 3, 4 ) ) )</f>
        <v>2</v>
      </c>
    </row>
    <row r="282" spans="51:54" x14ac:dyDescent="0.25">
      <c r="AY282" s="7">
        <v>0.20524334548751555</v>
      </c>
      <c r="AZ282" s="7" t="str">
        <f>"0"</f>
        <v>0</v>
      </c>
      <c r="BA282" t="str">
        <f ca="1">IF((OFFSET($A$1, 282 - 1, 51 - 1)) &gt;= (OFFSET($A$1, 68 - 1, 7 - 1)), "1","0")</f>
        <v>0</v>
      </c>
      <c r="BB282">
        <f ca="1" xml:space="preserve"> IF( AND( OFFSET($A$1, 282 - 1, 52 - 1) = "1", OFFSET($A$1, 282 - 1, 53 - 1) = "1" ), 1, IF( AND( OFFSET($A$1, 282 - 1, 52 - 1) = "1", OFFSET($A$1, 282 - 1, 53 - 1) = "0" ), 2, IF( AND( OFFSET($A$1, 282 - 1, 52 - 1) = "0", OFFSET($A$1, 282 - 1, 53 - 1) = "1" ), 3, 4 ) ) )</f>
        <v>4</v>
      </c>
    </row>
    <row r="283" spans="51:54" x14ac:dyDescent="0.25">
      <c r="AY283" s="7">
        <v>0.20524334548751555</v>
      </c>
      <c r="AZ283" s="7" t="str">
        <f>"0"</f>
        <v>0</v>
      </c>
      <c r="BA283" t="str">
        <f ca="1">IF((OFFSET($A$1, 283 - 1, 51 - 1)) &gt;= (OFFSET($A$1, 68 - 1, 7 - 1)), "1","0")</f>
        <v>0</v>
      </c>
      <c r="BB283">
        <f ca="1" xml:space="preserve"> IF( AND( OFFSET($A$1, 283 - 1, 52 - 1) = "1", OFFSET($A$1, 283 - 1, 53 - 1) = "1" ), 1, IF( AND( OFFSET($A$1, 283 - 1, 52 - 1) = "1", OFFSET($A$1, 283 - 1, 53 - 1) = "0" ), 2, IF( AND( OFFSET($A$1, 283 - 1, 52 - 1) = "0", OFFSET($A$1, 283 - 1, 53 - 1) = "1" ), 3, 4 ) ) )</f>
        <v>4</v>
      </c>
    </row>
    <row r="284" spans="51:54" x14ac:dyDescent="0.25">
      <c r="AY284" s="7">
        <v>0.20524334548751555</v>
      </c>
      <c r="AZ284" s="7" t="str">
        <f>"0"</f>
        <v>0</v>
      </c>
      <c r="BA284" t="str">
        <f ca="1">IF((OFFSET($A$1, 284 - 1, 51 - 1)) &gt;= (OFFSET($A$1, 68 - 1, 7 - 1)), "1","0")</f>
        <v>0</v>
      </c>
      <c r="BB284">
        <f ca="1" xml:space="preserve"> IF( AND( OFFSET($A$1, 284 - 1, 52 - 1) = "1", OFFSET($A$1, 284 - 1, 53 - 1) = "1" ), 1, IF( AND( OFFSET($A$1, 284 - 1, 52 - 1) = "1", OFFSET($A$1, 284 - 1, 53 - 1) = "0" ), 2, IF( AND( OFFSET($A$1, 284 - 1, 52 - 1) = "0", OFFSET($A$1, 284 - 1, 53 - 1) = "1" ), 3, 4 ) ) )</f>
        <v>4</v>
      </c>
    </row>
    <row r="285" spans="51:54" x14ac:dyDescent="0.25">
      <c r="AY285" s="7">
        <v>0.16903397659089944</v>
      </c>
      <c r="AZ285" s="7" t="str">
        <f>"0"</f>
        <v>0</v>
      </c>
      <c r="BA285" t="str">
        <f ca="1">IF((OFFSET($A$1, 285 - 1, 51 - 1)) &gt;= (OFFSET($A$1, 68 - 1, 7 - 1)), "1","0")</f>
        <v>0</v>
      </c>
      <c r="BB285">
        <f ca="1" xml:space="preserve"> IF( AND( OFFSET($A$1, 285 - 1, 52 - 1) = "1", OFFSET($A$1, 285 - 1, 53 - 1) = "1" ), 1, IF( AND( OFFSET($A$1, 285 - 1, 52 - 1) = "1", OFFSET($A$1, 285 - 1, 53 - 1) = "0" ), 2, IF( AND( OFFSET($A$1, 285 - 1, 52 - 1) = "0", OFFSET($A$1, 285 - 1, 53 - 1) = "1" ), 3, 4 ) ) )</f>
        <v>4</v>
      </c>
    </row>
    <row r="286" spans="51:54" x14ac:dyDescent="0.25">
      <c r="AY286" s="7">
        <v>0.16903397659089944</v>
      </c>
      <c r="AZ286" s="7" t="str">
        <f>"1"</f>
        <v>1</v>
      </c>
      <c r="BA286" t="str">
        <f ca="1">IF((OFFSET($A$1, 286 - 1, 51 - 1)) &gt;= (OFFSET($A$1, 68 - 1, 7 - 1)), "1","0")</f>
        <v>0</v>
      </c>
      <c r="BB286">
        <f ca="1" xml:space="preserve"> IF( AND( OFFSET($A$1, 286 - 1, 52 - 1) = "1", OFFSET($A$1, 286 - 1, 53 - 1) = "1" ), 1, IF( AND( OFFSET($A$1, 286 - 1, 52 - 1) = "1", OFFSET($A$1, 286 - 1, 53 - 1) = "0" ), 2, IF( AND( OFFSET($A$1, 286 - 1, 52 - 1) = "0", OFFSET($A$1, 286 - 1, 53 - 1) = "1" ), 3, 4 ) ) )</f>
        <v>2</v>
      </c>
    </row>
    <row r="287" spans="51:54" x14ac:dyDescent="0.25">
      <c r="AY287" s="7">
        <v>0.16903397659089944</v>
      </c>
      <c r="AZ287" s="7" t="str">
        <f>"0"</f>
        <v>0</v>
      </c>
      <c r="BA287" t="str">
        <f ca="1">IF((OFFSET($A$1, 287 - 1, 51 - 1)) &gt;= (OFFSET($A$1, 68 - 1, 7 - 1)), "1","0")</f>
        <v>0</v>
      </c>
      <c r="BB287">
        <f ca="1" xml:space="preserve"> IF( AND( OFFSET($A$1, 287 - 1, 52 - 1) = "1", OFFSET($A$1, 287 - 1, 53 - 1) = "1" ), 1, IF( AND( OFFSET($A$1, 287 - 1, 52 - 1) = "1", OFFSET($A$1, 287 - 1, 53 - 1) = "0" ), 2, IF( AND( OFFSET($A$1, 287 - 1, 52 - 1) = "0", OFFSET($A$1, 287 - 1, 53 - 1) = "1" ), 3, 4 ) ) )</f>
        <v>4</v>
      </c>
    </row>
    <row r="288" spans="51:54" x14ac:dyDescent="0.25">
      <c r="AY288" s="7">
        <v>0.20524334548751555</v>
      </c>
      <c r="AZ288" s="7" t="str">
        <f>"0"</f>
        <v>0</v>
      </c>
      <c r="BA288" t="str">
        <f ca="1">IF((OFFSET($A$1, 288 - 1, 51 - 1)) &gt;= (OFFSET($A$1, 68 - 1, 7 - 1)), "1","0")</f>
        <v>0</v>
      </c>
      <c r="BB288">
        <f ca="1" xml:space="preserve"> IF( AND( OFFSET($A$1, 288 - 1, 52 - 1) = "1", OFFSET($A$1, 288 - 1, 53 - 1) = "1" ), 1, IF( AND( OFFSET($A$1, 288 - 1, 52 - 1) = "1", OFFSET($A$1, 288 - 1, 53 - 1) = "0" ), 2, IF( AND( OFFSET($A$1, 288 - 1, 52 - 1) = "0", OFFSET($A$1, 288 - 1, 53 - 1) = "1" ), 3, 4 ) ) )</f>
        <v>4</v>
      </c>
    </row>
    <row r="289" spans="51:54" x14ac:dyDescent="0.25">
      <c r="AY289" s="7">
        <v>0.20524334548751555</v>
      </c>
      <c r="AZ289" s="7" t="str">
        <f>"1"</f>
        <v>1</v>
      </c>
      <c r="BA289" t="str">
        <f ca="1">IF((OFFSET($A$1, 289 - 1, 51 - 1)) &gt;= (OFFSET($A$1, 68 - 1, 7 - 1)), "1","0")</f>
        <v>0</v>
      </c>
      <c r="BB289">
        <f ca="1" xml:space="preserve"> IF( AND( OFFSET($A$1, 289 - 1, 52 - 1) = "1", OFFSET($A$1, 289 - 1, 53 - 1) = "1" ), 1, IF( AND( OFFSET($A$1, 289 - 1, 52 - 1) = "1", OFFSET($A$1, 289 - 1, 53 - 1) = "0" ), 2, IF( AND( OFFSET($A$1, 289 - 1, 52 - 1) = "0", OFFSET($A$1, 289 - 1, 53 - 1) = "1" ), 3, 4 ) ) )</f>
        <v>2</v>
      </c>
    </row>
    <row r="290" spans="51:54" x14ac:dyDescent="0.25">
      <c r="AY290" s="7">
        <v>0.20524334548751555</v>
      </c>
      <c r="AZ290" s="7" t="str">
        <f>"0"</f>
        <v>0</v>
      </c>
      <c r="BA290" t="str">
        <f ca="1">IF((OFFSET($A$1, 290 - 1, 51 - 1)) &gt;= (OFFSET($A$1, 68 - 1, 7 - 1)), "1","0")</f>
        <v>0</v>
      </c>
      <c r="BB290">
        <f ca="1" xml:space="preserve"> IF( AND( OFFSET($A$1, 290 - 1, 52 - 1) = "1", OFFSET($A$1, 290 - 1, 53 - 1) = "1" ), 1, IF( AND( OFFSET($A$1, 290 - 1, 52 - 1) = "1", OFFSET($A$1, 290 - 1, 53 - 1) = "0" ), 2, IF( AND( OFFSET($A$1, 290 - 1, 52 - 1) = "0", OFFSET($A$1, 290 - 1, 53 - 1) = "1" ), 3, 4 ) ) )</f>
        <v>4</v>
      </c>
    </row>
    <row r="291" spans="51:54" x14ac:dyDescent="0.25">
      <c r="AY291" s="7">
        <v>0.20524334548751555</v>
      </c>
      <c r="AZ291" s="7" t="str">
        <f>"0"</f>
        <v>0</v>
      </c>
      <c r="BA291" t="str">
        <f ca="1">IF((OFFSET($A$1, 291 - 1, 51 - 1)) &gt;= (OFFSET($A$1, 68 - 1, 7 - 1)), "1","0")</f>
        <v>0</v>
      </c>
      <c r="BB291">
        <f ca="1" xml:space="preserve"> IF( AND( OFFSET($A$1, 291 - 1, 52 - 1) = "1", OFFSET($A$1, 291 - 1, 53 - 1) = "1" ), 1, IF( AND( OFFSET($A$1, 291 - 1, 52 - 1) = "1", OFFSET($A$1, 291 - 1, 53 - 1) = "0" ), 2, IF( AND( OFFSET($A$1, 291 - 1, 52 - 1) = "0", OFFSET($A$1, 291 - 1, 53 - 1) = "1" ), 3, 4 ) ) )</f>
        <v>4</v>
      </c>
    </row>
    <row r="292" spans="51:54" x14ac:dyDescent="0.25">
      <c r="AY292" s="7">
        <v>0.16903397659089944</v>
      </c>
      <c r="AZ292" s="7" t="str">
        <f>"0"</f>
        <v>0</v>
      </c>
      <c r="BA292" t="str">
        <f ca="1">IF((OFFSET($A$1, 292 - 1, 51 - 1)) &gt;= (OFFSET($A$1, 68 - 1, 7 - 1)), "1","0")</f>
        <v>0</v>
      </c>
      <c r="BB292">
        <f ca="1" xml:space="preserve"> IF( AND( OFFSET($A$1, 292 - 1, 52 - 1) = "1", OFFSET($A$1, 292 - 1, 53 - 1) = "1" ), 1, IF( AND( OFFSET($A$1, 292 - 1, 52 - 1) = "1", OFFSET($A$1, 292 - 1, 53 - 1) = "0" ), 2, IF( AND( OFFSET($A$1, 292 - 1, 52 - 1) = "0", OFFSET($A$1, 292 - 1, 53 - 1) = "1" ), 3, 4 ) ) )</f>
        <v>4</v>
      </c>
    </row>
    <row r="293" spans="51:54" x14ac:dyDescent="0.25">
      <c r="AY293" s="7">
        <v>0.20524334548751555</v>
      </c>
      <c r="AZ293" s="7" t="str">
        <f>"1"</f>
        <v>1</v>
      </c>
      <c r="BA293" t="str">
        <f ca="1">IF((OFFSET($A$1, 293 - 1, 51 - 1)) &gt;= (OFFSET($A$1, 68 - 1, 7 - 1)), "1","0")</f>
        <v>0</v>
      </c>
      <c r="BB293">
        <f ca="1" xml:space="preserve"> IF( AND( OFFSET($A$1, 293 - 1, 52 - 1) = "1", OFFSET($A$1, 293 - 1, 53 - 1) = "1" ), 1, IF( AND( OFFSET($A$1, 293 - 1, 52 - 1) = "1", OFFSET($A$1, 293 - 1, 53 - 1) = "0" ), 2, IF( AND( OFFSET($A$1, 293 - 1, 52 - 1) = "0", OFFSET($A$1, 293 - 1, 53 - 1) = "1" ), 3, 4 ) ) )</f>
        <v>2</v>
      </c>
    </row>
    <row r="294" spans="51:54" x14ac:dyDescent="0.25">
      <c r="AY294" s="7">
        <v>0.16903397659089944</v>
      </c>
      <c r="AZ294" s="7" t="str">
        <f>"1"</f>
        <v>1</v>
      </c>
      <c r="BA294" t="str">
        <f ca="1">IF((OFFSET($A$1, 294 - 1, 51 - 1)) &gt;= (OFFSET($A$1, 68 - 1, 7 - 1)), "1","0")</f>
        <v>0</v>
      </c>
      <c r="BB294">
        <f ca="1" xml:space="preserve"> IF( AND( OFFSET($A$1, 294 - 1, 52 - 1) = "1", OFFSET($A$1, 294 - 1, 53 - 1) = "1" ), 1, IF( AND( OFFSET($A$1, 294 - 1, 52 - 1) = "1", OFFSET($A$1, 294 - 1, 53 - 1) = "0" ), 2, IF( AND( OFFSET($A$1, 294 - 1, 52 - 1) = "0", OFFSET($A$1, 294 - 1, 53 - 1) = "1" ), 3, 4 ) ) )</f>
        <v>2</v>
      </c>
    </row>
    <row r="295" spans="51:54" x14ac:dyDescent="0.25">
      <c r="AY295" s="7">
        <v>0.20524334548751555</v>
      </c>
      <c r="AZ295" s="7" t="str">
        <f>"0"</f>
        <v>0</v>
      </c>
      <c r="BA295" t="str">
        <f ca="1">IF((OFFSET($A$1, 295 - 1, 51 - 1)) &gt;= (OFFSET($A$1, 68 - 1, 7 - 1)), "1","0")</f>
        <v>0</v>
      </c>
      <c r="BB295">
        <f ca="1" xml:space="preserve"> IF( AND( OFFSET($A$1, 295 - 1, 52 - 1) = "1", OFFSET($A$1, 295 - 1, 53 - 1) = "1" ), 1, IF( AND( OFFSET($A$1, 295 - 1, 52 - 1) = "1", OFFSET($A$1, 295 - 1, 53 - 1) = "0" ), 2, IF( AND( OFFSET($A$1, 295 - 1, 52 - 1) = "0", OFFSET($A$1, 295 - 1, 53 - 1) = "1" ), 3, 4 ) ) )</f>
        <v>4</v>
      </c>
    </row>
    <row r="296" spans="51:54" x14ac:dyDescent="0.25">
      <c r="AY296" s="7">
        <v>0.20524334548751555</v>
      </c>
      <c r="AZ296" s="7" t="str">
        <f>"0"</f>
        <v>0</v>
      </c>
      <c r="BA296" t="str">
        <f ca="1">IF((OFFSET($A$1, 296 - 1, 51 - 1)) &gt;= (OFFSET($A$1, 68 - 1, 7 - 1)), "1","0")</f>
        <v>0</v>
      </c>
      <c r="BB296">
        <f ca="1" xml:space="preserve"> IF( AND( OFFSET($A$1, 296 - 1, 52 - 1) = "1", OFFSET($A$1, 296 - 1, 53 - 1) = "1" ), 1, IF( AND( OFFSET($A$1, 296 - 1, 52 - 1) = "1", OFFSET($A$1, 296 - 1, 53 - 1) = "0" ), 2, IF( AND( OFFSET($A$1, 296 - 1, 52 - 1) = "0", OFFSET($A$1, 296 - 1, 53 - 1) = "1" ), 3, 4 ) ) )</f>
        <v>4</v>
      </c>
    </row>
    <row r="297" spans="51:54" x14ac:dyDescent="0.25">
      <c r="AY297" s="7">
        <v>0.20524334548751555</v>
      </c>
      <c r="AZ297" s="7" t="str">
        <f>"0"</f>
        <v>0</v>
      </c>
      <c r="BA297" t="str">
        <f ca="1">IF((OFFSET($A$1, 297 - 1, 51 - 1)) &gt;= (OFFSET($A$1, 68 - 1, 7 - 1)), "1","0")</f>
        <v>0</v>
      </c>
      <c r="BB297">
        <f ca="1" xml:space="preserve"> IF( AND( OFFSET($A$1, 297 - 1, 52 - 1) = "1", OFFSET($A$1, 297 - 1, 53 - 1) = "1" ), 1, IF( AND( OFFSET($A$1, 297 - 1, 52 - 1) = "1", OFFSET($A$1, 297 - 1, 53 - 1) = "0" ), 2, IF( AND( OFFSET($A$1, 297 - 1, 52 - 1) = "0", OFFSET($A$1, 297 - 1, 53 - 1) = "1" ), 3, 4 ) ) )</f>
        <v>4</v>
      </c>
    </row>
    <row r="298" spans="51:54" x14ac:dyDescent="0.25">
      <c r="AY298" s="7">
        <v>0.20524334548751555</v>
      </c>
      <c r="AZ298" s="7" t="str">
        <f>"0"</f>
        <v>0</v>
      </c>
      <c r="BA298" t="str">
        <f ca="1">IF((OFFSET($A$1, 298 - 1, 51 - 1)) &gt;= (OFFSET($A$1, 68 - 1, 7 - 1)), "1","0")</f>
        <v>0</v>
      </c>
      <c r="BB298">
        <f ca="1" xml:space="preserve"> IF( AND( OFFSET($A$1, 298 - 1, 52 - 1) = "1", OFFSET($A$1, 298 - 1, 53 - 1) = "1" ), 1, IF( AND( OFFSET($A$1, 298 - 1, 52 - 1) = "1", OFFSET($A$1, 298 - 1, 53 - 1) = "0" ), 2, IF( AND( OFFSET($A$1, 298 - 1, 52 - 1) = "0", OFFSET($A$1, 298 - 1, 53 - 1) = "1" ), 3, 4 ) ) )</f>
        <v>4</v>
      </c>
    </row>
    <row r="299" spans="51:54" x14ac:dyDescent="0.25">
      <c r="AY299" s="7">
        <v>0.20524334548751555</v>
      </c>
      <c r="AZ299" s="7" t="str">
        <f>"0"</f>
        <v>0</v>
      </c>
      <c r="BA299" t="str">
        <f ca="1">IF((OFFSET($A$1, 299 - 1, 51 - 1)) &gt;= (OFFSET($A$1, 68 - 1, 7 - 1)), "1","0")</f>
        <v>0</v>
      </c>
      <c r="BB299">
        <f ca="1" xml:space="preserve"> IF( AND( OFFSET($A$1, 299 - 1, 52 - 1) = "1", OFFSET($A$1, 299 - 1, 53 - 1) = "1" ), 1, IF( AND( OFFSET($A$1, 299 - 1, 52 - 1) = "1", OFFSET($A$1, 299 - 1, 53 - 1) = "0" ), 2, IF( AND( OFFSET($A$1, 299 - 1, 52 - 1) = "0", OFFSET($A$1, 299 - 1, 53 - 1) = "1" ), 3, 4 ) ) )</f>
        <v>4</v>
      </c>
    </row>
    <row r="300" spans="51:54" x14ac:dyDescent="0.25">
      <c r="AY300" s="7">
        <v>0.20524334548751555</v>
      </c>
      <c r="AZ300" s="7" t="str">
        <f>"0"</f>
        <v>0</v>
      </c>
      <c r="BA300" t="str">
        <f ca="1">IF((OFFSET($A$1, 300 - 1, 51 - 1)) &gt;= (OFFSET($A$1, 68 - 1, 7 - 1)), "1","0")</f>
        <v>0</v>
      </c>
      <c r="BB300">
        <f ca="1" xml:space="preserve"> IF( AND( OFFSET($A$1, 300 - 1, 52 - 1) = "1", OFFSET($A$1, 300 - 1, 53 - 1) = "1" ), 1, IF( AND( OFFSET($A$1, 300 - 1, 52 - 1) = "1", OFFSET($A$1, 300 - 1, 53 - 1) = "0" ), 2, IF( AND( OFFSET($A$1, 300 - 1, 52 - 1) = "0", OFFSET($A$1, 300 - 1, 53 - 1) = "1" ), 3, 4 ) ) )</f>
        <v>4</v>
      </c>
    </row>
  </sheetData>
  <mergeCells count="73">
    <mergeCell ref="B3:K3"/>
    <mergeCell ref="N3:Q3"/>
    <mergeCell ref="J4:K4"/>
    <mergeCell ref="B5:C5"/>
    <mergeCell ref="D5:E5"/>
    <mergeCell ref="F5:G5"/>
    <mergeCell ref="H5:I5"/>
    <mergeCell ref="J5:K5"/>
    <mergeCell ref="C110:D110"/>
    <mergeCell ref="C111:D111"/>
    <mergeCell ref="B4:C4"/>
    <mergeCell ref="D4:E4"/>
    <mergeCell ref="F4:G4"/>
    <mergeCell ref="H4:I4"/>
    <mergeCell ref="D95:E95"/>
    <mergeCell ref="C100:F100"/>
    <mergeCell ref="C106:E106"/>
    <mergeCell ref="C107:D107"/>
    <mergeCell ref="C108:D108"/>
    <mergeCell ref="C109:D109"/>
    <mergeCell ref="C85:D85"/>
    <mergeCell ref="C86:D86"/>
    <mergeCell ref="C87:D87"/>
    <mergeCell ref="C92:F92"/>
    <mergeCell ref="H92:M92"/>
    <mergeCell ref="C94:E94"/>
    <mergeCell ref="C70:E70"/>
    <mergeCell ref="D71:E71"/>
    <mergeCell ref="C76:F76"/>
    <mergeCell ref="C82:E82"/>
    <mergeCell ref="C83:D83"/>
    <mergeCell ref="C84:D84"/>
    <mergeCell ref="C42:G42"/>
    <mergeCell ref="C51:E51"/>
    <mergeCell ref="C53:D53"/>
    <mergeCell ref="E53:F53"/>
    <mergeCell ref="C68:F68"/>
    <mergeCell ref="H68:M68"/>
    <mergeCell ref="G31:J31"/>
    <mergeCell ref="C33:G33"/>
    <mergeCell ref="C34:G34"/>
    <mergeCell ref="C35:G35"/>
    <mergeCell ref="C36:G36"/>
    <mergeCell ref="C37:G37"/>
    <mergeCell ref="C27:F27"/>
    <mergeCell ref="C28:F28"/>
    <mergeCell ref="C29:F29"/>
    <mergeCell ref="C30:F30"/>
    <mergeCell ref="C31:F31"/>
    <mergeCell ref="G26:J26"/>
    <mergeCell ref="G27:J27"/>
    <mergeCell ref="G28:J28"/>
    <mergeCell ref="G29:J29"/>
    <mergeCell ref="G30:J30"/>
    <mergeCell ref="C20:E20"/>
    <mergeCell ref="C21:D21"/>
    <mergeCell ref="C22:D22"/>
    <mergeCell ref="C23:D23"/>
    <mergeCell ref="C25:J25"/>
    <mergeCell ref="C26:F26"/>
    <mergeCell ref="C18:F18"/>
    <mergeCell ref="G13:K13"/>
    <mergeCell ref="G14:K14"/>
    <mergeCell ref="G15:K15"/>
    <mergeCell ref="G16:K16"/>
    <mergeCell ref="G17:K17"/>
    <mergeCell ref="G18:K18"/>
    <mergeCell ref="C12:K12"/>
    <mergeCell ref="C13:F13"/>
    <mergeCell ref="C14:F14"/>
    <mergeCell ref="C15:F15"/>
    <mergeCell ref="C16:F16"/>
    <mergeCell ref="C17:F17"/>
  </mergeCells>
  <hyperlinks>
    <hyperlink ref="B4" location="'LR_Output2'!$B$10:$B$10" display="Inputs"/>
    <hyperlink ref="D4" location="'LR_Output2'!$B$40:$B$40" display="Prior Class Prob."/>
    <hyperlink ref="F4" location="'LR_Output2'!$B$49:$B$49" display="Predictors"/>
    <hyperlink ref="H4" location="'LR_Output2'!$B$59:$B$59" display="Regress. Model"/>
    <hyperlink ref="J4" location="'LR_Output2'!$B$66:$B$66" display="Train. Score Summary"/>
    <hyperlink ref="B5" location="'LR_Output2'!$B$90:$B$90" display="Valid. Score Summary"/>
    <hyperlink ref="D5" location="'LR_TrainingLiftChart2'!$B$10:$B$10" display="Training Lift Chart"/>
    <hyperlink ref="F5" location="'LR_ValidationLiftChart2'!$B$10:$B$10" display="Validation Lift Char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303"/>
  <sheetViews>
    <sheetView showGridLines="0" workbookViewId="0"/>
  </sheetViews>
  <sheetFormatPr defaultRowHeight="15.75" x14ac:dyDescent="0.25"/>
  <cols>
    <col min="14" max="14" width="11.5" bestFit="1" customWidth="1"/>
    <col min="52" max="52" width="7.125" customWidth="1"/>
    <col min="53" max="53" width="14" bestFit="1" customWidth="1"/>
    <col min="54" max="54" width="11.5" bestFit="1" customWidth="1"/>
    <col min="55" max="55" width="40.5" bestFit="1" customWidth="1"/>
    <col min="56" max="56" width="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ht="18.75" x14ac:dyDescent="0.3">
      <c r="B1" s="5" t="s">
        <v>71</v>
      </c>
      <c r="N1" t="s">
        <v>168</v>
      </c>
      <c r="BZ1" s="10" t="s">
        <v>54</v>
      </c>
      <c r="CA1" s="10" t="s">
        <v>55</v>
      </c>
      <c r="CB1" s="10" t="s">
        <v>56</v>
      </c>
    </row>
    <row r="2" spans="2:80" x14ac:dyDescent="0.25">
      <c r="BZ2">
        <v>0</v>
      </c>
      <c r="CA2">
        <v>0</v>
      </c>
      <c r="CB2">
        <v>0</v>
      </c>
    </row>
    <row r="3" spans="2:8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10" t="s">
        <v>47</v>
      </c>
      <c r="BA3" s="10" t="s">
        <v>48</v>
      </c>
      <c r="BB3" s="10" t="s">
        <v>49</v>
      </c>
      <c r="BC3" s="10" t="s">
        <v>50</v>
      </c>
      <c r="BD3" s="10" t="s">
        <v>51</v>
      </c>
      <c r="BE3" s="10" t="s">
        <v>52</v>
      </c>
      <c r="BF3" s="10" t="s">
        <v>53</v>
      </c>
      <c r="BZ3">
        <v>0.75518672199170123</v>
      </c>
      <c r="CA3">
        <v>0.79661016949152541</v>
      </c>
      <c r="CB3">
        <v>0.75518672199170123</v>
      </c>
    </row>
    <row r="4" spans="2:8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67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24">
        <v>1</v>
      </c>
      <c r="BA4" s="24">
        <v>0.20524334548751555</v>
      </c>
      <c r="BB4" s="24">
        <v>0</v>
      </c>
      <c r="BC4" s="24">
        <v>0</v>
      </c>
      <c r="BD4" s="24">
        <v>0.19666666666666666</v>
      </c>
      <c r="BE4">
        <v>1</v>
      </c>
      <c r="BF4">
        <v>1.3559322033898307</v>
      </c>
      <c r="BZ4">
        <v>1</v>
      </c>
      <c r="CA4">
        <v>1</v>
      </c>
      <c r="CB4">
        <v>1</v>
      </c>
    </row>
    <row r="5" spans="2:80" x14ac:dyDescent="0.25">
      <c r="B5" s="23" t="s">
        <v>68</v>
      </c>
      <c r="C5" s="19"/>
      <c r="D5" s="23" t="s">
        <v>69</v>
      </c>
      <c r="E5" s="19"/>
      <c r="F5" s="23" t="s">
        <v>70</v>
      </c>
      <c r="G5" s="19"/>
      <c r="H5" s="17"/>
      <c r="I5" s="19"/>
      <c r="J5" s="17"/>
      <c r="K5" s="19"/>
      <c r="N5" s="7">
        <v>0</v>
      </c>
      <c r="O5" s="7">
        <v>0</v>
      </c>
      <c r="P5" s="7">
        <v>16</v>
      </c>
      <c r="Q5" s="7">
        <v>16</v>
      </c>
      <c r="AZ5" s="24">
        <v>2</v>
      </c>
      <c r="BA5" s="24">
        <v>0.20524334548751555</v>
      </c>
      <c r="BB5" s="24">
        <v>0</v>
      </c>
      <c r="BC5" s="24">
        <v>0</v>
      </c>
      <c r="BD5" s="24">
        <v>0.39333333333333331</v>
      </c>
      <c r="BE5">
        <v>2</v>
      </c>
      <c r="BF5">
        <v>1.1864406779661019</v>
      </c>
    </row>
    <row r="6" spans="2:80" x14ac:dyDescent="0.25">
      <c r="AZ6" s="24">
        <v>3</v>
      </c>
      <c r="BA6" s="24">
        <v>0.20524334548751555</v>
      </c>
      <c r="BB6" s="24">
        <v>0</v>
      </c>
      <c r="BC6" s="24">
        <v>0</v>
      </c>
      <c r="BD6" s="24">
        <v>0.59</v>
      </c>
      <c r="BE6">
        <v>3</v>
      </c>
      <c r="BF6">
        <v>0.84745762711864414</v>
      </c>
    </row>
    <row r="7" spans="2:80" x14ac:dyDescent="0.25">
      <c r="AZ7" s="24">
        <v>4</v>
      </c>
      <c r="BA7" s="24">
        <v>0.20524334548751555</v>
      </c>
      <c r="BB7" s="24">
        <v>0</v>
      </c>
      <c r="BC7" s="24">
        <v>0</v>
      </c>
      <c r="BD7" s="24">
        <v>0.78666666666666663</v>
      </c>
      <c r="BE7">
        <v>4</v>
      </c>
      <c r="BF7">
        <v>0.84745762711864414</v>
      </c>
    </row>
    <row r="8" spans="2:80" x14ac:dyDescent="0.25">
      <c r="AZ8" s="24">
        <v>5</v>
      </c>
      <c r="BA8" s="24">
        <v>0.20524334548751555</v>
      </c>
      <c r="BB8" s="24">
        <v>0</v>
      </c>
      <c r="BC8" s="24">
        <v>0</v>
      </c>
      <c r="BD8" s="24">
        <v>0.98333333333333328</v>
      </c>
      <c r="BE8">
        <v>5</v>
      </c>
      <c r="BF8">
        <v>1.1864406779661019</v>
      </c>
    </row>
    <row r="9" spans="2:80" x14ac:dyDescent="0.25">
      <c r="AZ9" s="24">
        <v>6</v>
      </c>
      <c r="BA9" s="24">
        <v>0.20524334548751555</v>
      </c>
      <c r="BB9" s="24">
        <v>0</v>
      </c>
      <c r="BC9" s="24">
        <v>0</v>
      </c>
      <c r="BD9" s="24">
        <v>1.18</v>
      </c>
      <c r="BE9">
        <v>6</v>
      </c>
      <c r="BF9">
        <v>0.50847457627118653</v>
      </c>
    </row>
    <row r="10" spans="2:80" x14ac:dyDescent="0.25">
      <c r="AZ10" s="24">
        <v>7</v>
      </c>
      <c r="BA10" s="24">
        <v>0.20524334548751555</v>
      </c>
      <c r="BB10" s="24">
        <v>0</v>
      </c>
      <c r="BC10" s="24">
        <v>0</v>
      </c>
      <c r="BD10" s="24">
        <v>1.3766666666666665</v>
      </c>
      <c r="BE10">
        <v>7</v>
      </c>
      <c r="BF10">
        <v>1.5254237288135595</v>
      </c>
    </row>
    <row r="11" spans="2:80" x14ac:dyDescent="0.25">
      <c r="AZ11" s="24">
        <v>8</v>
      </c>
      <c r="BA11" s="24">
        <v>0.20524334548751555</v>
      </c>
      <c r="BB11" s="24">
        <v>1</v>
      </c>
      <c r="BC11" s="24">
        <v>1</v>
      </c>
      <c r="BD11" s="24">
        <v>1.5733333333333333</v>
      </c>
      <c r="BE11">
        <v>8</v>
      </c>
      <c r="BF11">
        <v>1.1864406779661019</v>
      </c>
    </row>
    <row r="12" spans="2:80" x14ac:dyDescent="0.25">
      <c r="AZ12" s="24">
        <v>9</v>
      </c>
      <c r="BA12" s="24">
        <v>0.20524334548751555</v>
      </c>
      <c r="BB12" s="24">
        <v>0</v>
      </c>
      <c r="BC12" s="24">
        <v>1</v>
      </c>
      <c r="BD12" s="24">
        <v>1.77</v>
      </c>
      <c r="BE12">
        <v>9</v>
      </c>
      <c r="BF12">
        <v>0.84745762711864414</v>
      </c>
    </row>
    <row r="13" spans="2:80" x14ac:dyDescent="0.25">
      <c r="AZ13" s="24">
        <v>10</v>
      </c>
      <c r="BA13" s="24">
        <v>0.20524334548751555</v>
      </c>
      <c r="BB13" s="24">
        <v>0</v>
      </c>
      <c r="BC13" s="24">
        <v>1</v>
      </c>
      <c r="BD13" s="24">
        <v>1.9666666666666666</v>
      </c>
      <c r="BE13">
        <v>10</v>
      </c>
      <c r="BF13">
        <v>0.50847457627118653</v>
      </c>
    </row>
    <row r="14" spans="2:80" x14ac:dyDescent="0.25">
      <c r="AZ14" s="24">
        <v>11</v>
      </c>
      <c r="BA14" s="24">
        <v>0.20524334548751555</v>
      </c>
      <c r="BB14" s="24">
        <v>0</v>
      </c>
      <c r="BC14" s="24">
        <v>1</v>
      </c>
      <c r="BD14" s="24">
        <v>2.1633333333333331</v>
      </c>
    </row>
    <row r="15" spans="2:80" x14ac:dyDescent="0.25">
      <c r="AZ15" s="24">
        <v>12</v>
      </c>
      <c r="BA15" s="24">
        <v>0.20524334548751555</v>
      </c>
      <c r="BB15" s="24">
        <v>1</v>
      </c>
      <c r="BC15" s="24">
        <v>2</v>
      </c>
      <c r="BD15" s="24">
        <v>2.36</v>
      </c>
    </row>
    <row r="16" spans="2:80" x14ac:dyDescent="0.25">
      <c r="AZ16" s="24">
        <v>13</v>
      </c>
      <c r="BA16" s="24">
        <v>0.20524334548751555</v>
      </c>
      <c r="BB16" s="24">
        <v>0</v>
      </c>
      <c r="BC16" s="24">
        <v>2</v>
      </c>
      <c r="BD16" s="24">
        <v>2.5566666666666666</v>
      </c>
    </row>
    <row r="17" spans="52:56" x14ac:dyDescent="0.25">
      <c r="AZ17" s="24">
        <v>14</v>
      </c>
      <c r="BA17" s="24">
        <v>0.20524334548751555</v>
      </c>
      <c r="BB17" s="24">
        <v>0</v>
      </c>
      <c r="BC17" s="24">
        <v>2</v>
      </c>
      <c r="BD17" s="24">
        <v>2.753333333333333</v>
      </c>
    </row>
    <row r="18" spans="52:56" x14ac:dyDescent="0.25">
      <c r="AZ18" s="24">
        <v>15</v>
      </c>
      <c r="BA18" s="24">
        <v>0.20524334548751555</v>
      </c>
      <c r="BB18" s="24">
        <v>0</v>
      </c>
      <c r="BC18" s="24">
        <v>2</v>
      </c>
      <c r="BD18" s="24">
        <v>2.9499999999999997</v>
      </c>
    </row>
    <row r="19" spans="52:56" x14ac:dyDescent="0.25">
      <c r="AZ19" s="24">
        <v>16</v>
      </c>
      <c r="BA19" s="24">
        <v>0.20524334548751555</v>
      </c>
      <c r="BB19" s="24">
        <v>1</v>
      </c>
      <c r="BC19" s="24">
        <v>3</v>
      </c>
      <c r="BD19" s="24">
        <v>3.1466666666666665</v>
      </c>
    </row>
    <row r="20" spans="52:56" x14ac:dyDescent="0.25">
      <c r="AZ20" s="24">
        <v>17</v>
      </c>
      <c r="BA20" s="24">
        <v>0.20524334548751555</v>
      </c>
      <c r="BB20" s="24">
        <v>0</v>
      </c>
      <c r="BC20" s="24">
        <v>3</v>
      </c>
      <c r="BD20" s="24">
        <v>3.3433333333333333</v>
      </c>
    </row>
    <row r="21" spans="52:56" x14ac:dyDescent="0.25">
      <c r="AZ21" s="24">
        <v>18</v>
      </c>
      <c r="BA21" s="24">
        <v>0.20524334548751555</v>
      </c>
      <c r="BB21" s="24">
        <v>0</v>
      </c>
      <c r="BC21" s="24">
        <v>3</v>
      </c>
      <c r="BD21" s="24">
        <v>3.54</v>
      </c>
    </row>
    <row r="22" spans="52:56" x14ac:dyDescent="0.25">
      <c r="AZ22" s="24">
        <v>19</v>
      </c>
      <c r="BA22" s="24">
        <v>0.20524334548751555</v>
      </c>
      <c r="BB22" s="24">
        <v>0</v>
      </c>
      <c r="BC22" s="24">
        <v>3</v>
      </c>
      <c r="BD22" s="24">
        <v>3.7366666666666664</v>
      </c>
    </row>
    <row r="23" spans="52:56" x14ac:dyDescent="0.25">
      <c r="AZ23" s="24">
        <v>20</v>
      </c>
      <c r="BA23" s="24">
        <v>0.20524334548751555</v>
      </c>
      <c r="BB23" s="24">
        <v>0</v>
      </c>
      <c r="BC23" s="24">
        <v>3</v>
      </c>
      <c r="BD23" s="24">
        <v>3.9333333333333331</v>
      </c>
    </row>
    <row r="24" spans="52:56" x14ac:dyDescent="0.25">
      <c r="AZ24" s="24">
        <v>21</v>
      </c>
      <c r="BA24" s="24">
        <v>0.20524334548751555</v>
      </c>
      <c r="BB24" s="24">
        <v>1</v>
      </c>
      <c r="BC24" s="24">
        <v>4</v>
      </c>
      <c r="BD24" s="24">
        <v>4.13</v>
      </c>
    </row>
    <row r="25" spans="52:56" x14ac:dyDescent="0.25">
      <c r="AZ25" s="24">
        <v>22</v>
      </c>
      <c r="BA25" s="24">
        <v>0.20524334548751555</v>
      </c>
      <c r="BB25" s="24">
        <v>0</v>
      </c>
      <c r="BC25" s="24">
        <v>4</v>
      </c>
      <c r="BD25" s="24">
        <v>4.3266666666666662</v>
      </c>
    </row>
    <row r="26" spans="52:56" x14ac:dyDescent="0.25">
      <c r="AZ26" s="24">
        <v>23</v>
      </c>
      <c r="BA26" s="24">
        <v>0.20524334548751555</v>
      </c>
      <c r="BB26" s="24">
        <v>0</v>
      </c>
      <c r="BC26" s="24">
        <v>4</v>
      </c>
      <c r="BD26" s="24">
        <v>4.5233333333333334</v>
      </c>
    </row>
    <row r="27" spans="52:56" x14ac:dyDescent="0.25">
      <c r="AZ27" s="24">
        <v>24</v>
      </c>
      <c r="BA27" s="24">
        <v>0.20524334548751555</v>
      </c>
      <c r="BB27" s="24">
        <v>0</v>
      </c>
      <c r="BC27" s="24">
        <v>4</v>
      </c>
      <c r="BD27" s="24">
        <v>4.72</v>
      </c>
    </row>
    <row r="28" spans="52:56" x14ac:dyDescent="0.25">
      <c r="AZ28" s="24">
        <v>25</v>
      </c>
      <c r="BA28" s="24">
        <v>0.20524334548751555</v>
      </c>
      <c r="BB28" s="24">
        <v>1</v>
      </c>
      <c r="BC28" s="24">
        <v>5</v>
      </c>
      <c r="BD28" s="24">
        <v>4.9166666666666661</v>
      </c>
    </row>
    <row r="29" spans="52:56" x14ac:dyDescent="0.25">
      <c r="AZ29" s="24">
        <v>26</v>
      </c>
      <c r="BA29" s="24">
        <v>0.20524334548751555</v>
      </c>
      <c r="BB29" s="24">
        <v>1</v>
      </c>
      <c r="BC29" s="24">
        <v>6</v>
      </c>
      <c r="BD29" s="24">
        <v>5.1133333333333333</v>
      </c>
    </row>
    <row r="30" spans="52:56" x14ac:dyDescent="0.25">
      <c r="AZ30" s="24">
        <v>27</v>
      </c>
      <c r="BA30" s="24">
        <v>0.20524334548751555</v>
      </c>
      <c r="BB30" s="24">
        <v>1</v>
      </c>
      <c r="BC30" s="24">
        <v>7</v>
      </c>
      <c r="BD30" s="24">
        <v>5.31</v>
      </c>
    </row>
    <row r="31" spans="52:56" x14ac:dyDescent="0.25">
      <c r="AZ31" s="24">
        <v>28</v>
      </c>
      <c r="BA31" s="24">
        <v>0.20524334548751555</v>
      </c>
      <c r="BB31" s="24">
        <v>0</v>
      </c>
      <c r="BC31" s="24">
        <v>7</v>
      </c>
      <c r="BD31" s="24">
        <v>5.5066666666666659</v>
      </c>
    </row>
    <row r="32" spans="52:56" x14ac:dyDescent="0.25">
      <c r="AZ32" s="24">
        <v>29</v>
      </c>
      <c r="BA32" s="24">
        <v>0.20524334548751555</v>
      </c>
      <c r="BB32" s="24">
        <v>1</v>
      </c>
      <c r="BC32" s="24">
        <v>8</v>
      </c>
      <c r="BD32" s="24">
        <v>5.7033333333333331</v>
      </c>
    </row>
    <row r="33" spans="9:56" x14ac:dyDescent="0.25">
      <c r="AZ33" s="24">
        <v>30</v>
      </c>
      <c r="BA33" s="24">
        <v>0.20524334548751555</v>
      </c>
      <c r="BB33" s="24">
        <v>0</v>
      </c>
      <c r="BC33" s="24">
        <v>8</v>
      </c>
      <c r="BD33" s="24">
        <v>5.8999999999999995</v>
      </c>
    </row>
    <row r="34" spans="9:56" x14ac:dyDescent="0.25">
      <c r="AZ34" s="25">
        <v>31</v>
      </c>
      <c r="BA34" s="25">
        <v>0.20524334548751555</v>
      </c>
      <c r="BB34" s="25">
        <v>0</v>
      </c>
      <c r="BC34" s="25">
        <v>8</v>
      </c>
      <c r="BD34" s="25">
        <v>6.0966666666666667</v>
      </c>
    </row>
    <row r="35" spans="9:56" x14ac:dyDescent="0.25">
      <c r="AZ35" s="25">
        <v>32</v>
      </c>
      <c r="BA35" s="25">
        <v>0.20524334548751555</v>
      </c>
      <c r="BB35" s="25">
        <v>0</v>
      </c>
      <c r="BC35" s="25">
        <v>8</v>
      </c>
      <c r="BD35" s="25">
        <v>6.293333333333333</v>
      </c>
    </row>
    <row r="36" spans="9:56" x14ac:dyDescent="0.25">
      <c r="AZ36" s="25">
        <v>33</v>
      </c>
      <c r="BA36" s="25">
        <v>0.20524334548751555</v>
      </c>
      <c r="BB36" s="25">
        <v>1</v>
      </c>
      <c r="BC36" s="25">
        <v>9</v>
      </c>
      <c r="BD36" s="25">
        <v>6.4899999999999993</v>
      </c>
    </row>
    <row r="37" spans="9:56" x14ac:dyDescent="0.25">
      <c r="AZ37" s="25">
        <v>34</v>
      </c>
      <c r="BA37" s="25">
        <v>0.20524334548751555</v>
      </c>
      <c r="BB37" s="25">
        <v>0</v>
      </c>
      <c r="BC37" s="25">
        <v>9</v>
      </c>
      <c r="BD37" s="25">
        <v>6.6866666666666665</v>
      </c>
    </row>
    <row r="38" spans="9:56" x14ac:dyDescent="0.25">
      <c r="I38" s="10" t="s">
        <v>57</v>
      </c>
      <c r="J38" s="10" t="s">
        <v>58</v>
      </c>
      <c r="K38" s="10" t="s">
        <v>59</v>
      </c>
      <c r="L38" s="10" t="s">
        <v>60</v>
      </c>
      <c r="M38" s="10" t="s">
        <v>61</v>
      </c>
      <c r="AZ38" s="25">
        <v>35</v>
      </c>
      <c r="BA38" s="25">
        <v>0.20524334548751555</v>
      </c>
      <c r="BB38" s="25">
        <v>0</v>
      </c>
      <c r="BC38" s="25">
        <v>9</v>
      </c>
      <c r="BD38" s="25">
        <v>6.8833333333333329</v>
      </c>
    </row>
    <row r="39" spans="9:56" x14ac:dyDescent="0.25">
      <c r="I39" s="9">
        <v>1</v>
      </c>
      <c r="J39" s="7">
        <v>0.26666666666666666</v>
      </c>
      <c r="K39" s="7">
        <v>0.44977644510880371</v>
      </c>
      <c r="L39" s="7">
        <v>0</v>
      </c>
      <c r="M39" s="7">
        <v>1</v>
      </c>
      <c r="AZ39" s="25">
        <v>36</v>
      </c>
      <c r="BA39" s="25">
        <v>0.20524334548751555</v>
      </c>
      <c r="BB39" s="25">
        <v>0</v>
      </c>
      <c r="BC39" s="25">
        <v>9</v>
      </c>
      <c r="BD39" s="25">
        <v>7.08</v>
      </c>
    </row>
    <row r="40" spans="9:56" x14ac:dyDescent="0.25">
      <c r="I40" s="9">
        <v>2</v>
      </c>
      <c r="J40" s="7">
        <v>0.23333333333333334</v>
      </c>
      <c r="K40" s="7">
        <v>0.4301830671520761</v>
      </c>
      <c r="L40" s="7">
        <v>0</v>
      </c>
      <c r="M40" s="7">
        <v>1</v>
      </c>
      <c r="AZ40" s="25">
        <v>37</v>
      </c>
      <c r="BA40" s="25">
        <v>0.20524334548751555</v>
      </c>
      <c r="BB40" s="25">
        <v>0</v>
      </c>
      <c r="BC40" s="25">
        <v>9</v>
      </c>
      <c r="BD40" s="25">
        <v>7.2766666666666664</v>
      </c>
    </row>
    <row r="41" spans="9:56" x14ac:dyDescent="0.25">
      <c r="I41" s="9">
        <v>3</v>
      </c>
      <c r="J41" s="7">
        <v>0.16666666666666666</v>
      </c>
      <c r="K41" s="7">
        <v>0.37904902178945171</v>
      </c>
      <c r="L41" s="7">
        <v>0</v>
      </c>
      <c r="M41" s="7">
        <v>1</v>
      </c>
      <c r="AZ41" s="25">
        <v>38</v>
      </c>
      <c r="BA41" s="25">
        <v>0.20524334548751555</v>
      </c>
      <c r="BB41" s="25">
        <v>0</v>
      </c>
      <c r="BC41" s="25">
        <v>9</v>
      </c>
      <c r="BD41" s="25">
        <v>7.4733333333333327</v>
      </c>
    </row>
    <row r="42" spans="9:56" x14ac:dyDescent="0.25">
      <c r="I42" s="9">
        <v>4</v>
      </c>
      <c r="J42" s="7">
        <v>0.16666666666666666</v>
      </c>
      <c r="K42" s="7">
        <v>0.3790490217894516</v>
      </c>
      <c r="L42" s="7">
        <v>0</v>
      </c>
      <c r="M42" s="7">
        <v>1</v>
      </c>
      <c r="AZ42" s="25">
        <v>39</v>
      </c>
      <c r="BA42" s="25">
        <v>0.20524334548751555</v>
      </c>
      <c r="BB42" s="25">
        <v>0</v>
      </c>
      <c r="BC42" s="25">
        <v>9</v>
      </c>
      <c r="BD42" s="25">
        <v>7.67</v>
      </c>
    </row>
    <row r="43" spans="9:56" x14ac:dyDescent="0.25">
      <c r="I43" s="9">
        <v>5</v>
      </c>
      <c r="J43" s="7">
        <v>0.23333333333333334</v>
      </c>
      <c r="K43" s="7">
        <v>0.43018306715207622</v>
      </c>
      <c r="L43" s="7">
        <v>0</v>
      </c>
      <c r="M43" s="7">
        <v>1</v>
      </c>
      <c r="AZ43" s="25">
        <v>40</v>
      </c>
      <c r="BA43" s="25">
        <v>0.20524334548751555</v>
      </c>
      <c r="BB43" s="25">
        <v>1</v>
      </c>
      <c r="BC43" s="25">
        <v>10</v>
      </c>
      <c r="BD43" s="25">
        <v>7.8666666666666663</v>
      </c>
    </row>
    <row r="44" spans="9:56" x14ac:dyDescent="0.25">
      <c r="I44" s="9">
        <v>6</v>
      </c>
      <c r="J44" s="7">
        <v>0.1</v>
      </c>
      <c r="K44" s="7">
        <v>0.30512857662936449</v>
      </c>
      <c r="L44" s="7">
        <v>0</v>
      </c>
      <c r="M44" s="7">
        <v>1</v>
      </c>
      <c r="AZ44" s="25">
        <v>41</v>
      </c>
      <c r="BA44" s="25">
        <v>0.20524334548751555</v>
      </c>
      <c r="BB44" s="25">
        <v>1</v>
      </c>
      <c r="BC44" s="25">
        <v>11</v>
      </c>
      <c r="BD44" s="25">
        <v>8.0633333333333326</v>
      </c>
    </row>
    <row r="45" spans="9:56" x14ac:dyDescent="0.25">
      <c r="I45" s="9">
        <v>7</v>
      </c>
      <c r="J45" s="7">
        <v>0.3</v>
      </c>
      <c r="K45" s="7">
        <v>0.46609159969939895</v>
      </c>
      <c r="L45" s="7">
        <v>0</v>
      </c>
      <c r="M45" s="7">
        <v>1</v>
      </c>
      <c r="AZ45" s="25">
        <v>42</v>
      </c>
      <c r="BA45" s="25">
        <v>0.20524334548751555</v>
      </c>
      <c r="BB45" s="25">
        <v>0</v>
      </c>
      <c r="BC45" s="25">
        <v>11</v>
      </c>
      <c r="BD45" s="25">
        <v>8.26</v>
      </c>
    </row>
    <row r="46" spans="9:56" x14ac:dyDescent="0.25">
      <c r="I46" s="9">
        <v>8</v>
      </c>
      <c r="J46" s="7">
        <v>0.23333333333333334</v>
      </c>
      <c r="K46" s="7">
        <v>0.43018306715207627</v>
      </c>
      <c r="L46" s="7">
        <v>0</v>
      </c>
      <c r="M46" s="7">
        <v>1</v>
      </c>
      <c r="AZ46" s="25">
        <v>43</v>
      </c>
      <c r="BA46" s="25">
        <v>0.20524334548751555</v>
      </c>
      <c r="BB46" s="25">
        <v>0</v>
      </c>
      <c r="BC46" s="25">
        <v>11</v>
      </c>
      <c r="BD46" s="25">
        <v>8.456666666666667</v>
      </c>
    </row>
    <row r="47" spans="9:56" x14ac:dyDescent="0.25">
      <c r="I47" s="9">
        <v>9</v>
      </c>
      <c r="J47" s="7">
        <v>0.16666666666666666</v>
      </c>
      <c r="K47" s="7">
        <v>0.3790490217894516</v>
      </c>
      <c r="L47" s="7">
        <v>0</v>
      </c>
      <c r="M47" s="7">
        <v>1</v>
      </c>
      <c r="AZ47" s="25">
        <v>44</v>
      </c>
      <c r="BA47" s="25">
        <v>0.20524334548751555</v>
      </c>
      <c r="BB47" s="25">
        <v>0</v>
      </c>
      <c r="BC47" s="25">
        <v>11</v>
      </c>
      <c r="BD47" s="25">
        <v>8.6533333333333324</v>
      </c>
    </row>
    <row r="48" spans="9:56" x14ac:dyDescent="0.25">
      <c r="I48" s="9">
        <v>10</v>
      </c>
      <c r="J48" s="7">
        <v>0.1</v>
      </c>
      <c r="K48" s="7">
        <v>0.30512857662936443</v>
      </c>
      <c r="L48" s="7">
        <v>0</v>
      </c>
      <c r="M48" s="7">
        <v>1</v>
      </c>
      <c r="AZ48" s="25">
        <v>45</v>
      </c>
      <c r="BA48" s="25">
        <v>0.20524334548751555</v>
      </c>
      <c r="BB48" s="25">
        <v>1</v>
      </c>
      <c r="BC48" s="25">
        <v>12</v>
      </c>
      <c r="BD48" s="25">
        <v>8.85</v>
      </c>
    </row>
    <row r="49" spans="52:56" x14ac:dyDescent="0.25">
      <c r="AZ49" s="25">
        <v>46</v>
      </c>
      <c r="BA49" s="25">
        <v>0.20524334548751555</v>
      </c>
      <c r="BB49" s="25">
        <v>1</v>
      </c>
      <c r="BC49" s="25">
        <v>13</v>
      </c>
      <c r="BD49" s="25">
        <v>9.0466666666666669</v>
      </c>
    </row>
    <row r="50" spans="52:56" x14ac:dyDescent="0.25">
      <c r="AZ50" s="25">
        <v>47</v>
      </c>
      <c r="BA50" s="25">
        <v>0.20524334548751555</v>
      </c>
      <c r="BB50" s="25">
        <v>0</v>
      </c>
      <c r="BC50" s="25">
        <v>13</v>
      </c>
      <c r="BD50" s="25">
        <v>9.2433333333333323</v>
      </c>
    </row>
    <row r="51" spans="52:56" x14ac:dyDescent="0.25">
      <c r="AZ51" s="25">
        <v>48</v>
      </c>
      <c r="BA51" s="25">
        <v>0.20524334548751555</v>
      </c>
      <c r="BB51" s="25">
        <v>1</v>
      </c>
      <c r="BC51" s="25">
        <v>14</v>
      </c>
      <c r="BD51" s="25">
        <v>9.44</v>
      </c>
    </row>
    <row r="52" spans="52:56" x14ac:dyDescent="0.25">
      <c r="AZ52" s="25">
        <v>49</v>
      </c>
      <c r="BA52" s="25">
        <v>0.20524334548751555</v>
      </c>
      <c r="BB52" s="25">
        <v>0</v>
      </c>
      <c r="BC52" s="25">
        <v>14</v>
      </c>
      <c r="BD52" s="25">
        <v>9.6366666666666667</v>
      </c>
    </row>
    <row r="53" spans="52:56" x14ac:dyDescent="0.25">
      <c r="AZ53" s="25">
        <v>50</v>
      </c>
      <c r="BA53" s="25">
        <v>0.20524334548751555</v>
      </c>
      <c r="BB53" s="25">
        <v>0</v>
      </c>
      <c r="BC53" s="25">
        <v>14</v>
      </c>
      <c r="BD53" s="25">
        <v>9.8333333333333321</v>
      </c>
    </row>
    <row r="54" spans="52:56" x14ac:dyDescent="0.25">
      <c r="AZ54" s="25">
        <v>51</v>
      </c>
      <c r="BA54" s="25">
        <v>0.20524334548751555</v>
      </c>
      <c r="BB54" s="25">
        <v>0</v>
      </c>
      <c r="BC54" s="25">
        <v>14</v>
      </c>
      <c r="BD54" s="25">
        <v>10.029999999999999</v>
      </c>
    </row>
    <row r="55" spans="52:56" x14ac:dyDescent="0.25">
      <c r="AZ55" s="25">
        <v>52</v>
      </c>
      <c r="BA55" s="25">
        <v>0.20524334548751555</v>
      </c>
      <c r="BB55" s="25">
        <v>1</v>
      </c>
      <c r="BC55" s="25">
        <v>15</v>
      </c>
      <c r="BD55" s="25">
        <v>10.226666666666667</v>
      </c>
    </row>
    <row r="56" spans="52:56" x14ac:dyDescent="0.25">
      <c r="AZ56" s="25">
        <v>53</v>
      </c>
      <c r="BA56" s="25">
        <v>0.20524334548751555</v>
      </c>
      <c r="BB56" s="25">
        <v>0</v>
      </c>
      <c r="BC56" s="25">
        <v>15</v>
      </c>
      <c r="BD56" s="25">
        <v>10.423333333333332</v>
      </c>
    </row>
    <row r="57" spans="52:56" x14ac:dyDescent="0.25">
      <c r="AZ57" s="25">
        <v>54</v>
      </c>
      <c r="BA57" s="25">
        <v>0.20524334548751555</v>
      </c>
      <c r="BB57" s="25">
        <v>0</v>
      </c>
      <c r="BC57" s="25">
        <v>15</v>
      </c>
      <c r="BD57" s="25">
        <v>10.62</v>
      </c>
    </row>
    <row r="58" spans="52:56" x14ac:dyDescent="0.25">
      <c r="AZ58" s="25">
        <v>55</v>
      </c>
      <c r="BA58" s="25">
        <v>0.20524334548751555</v>
      </c>
      <c r="BB58" s="25">
        <v>0</v>
      </c>
      <c r="BC58" s="25">
        <v>15</v>
      </c>
      <c r="BD58" s="25">
        <v>10.816666666666666</v>
      </c>
    </row>
    <row r="59" spans="52:56" x14ac:dyDescent="0.25">
      <c r="AZ59" s="25">
        <v>56</v>
      </c>
      <c r="BA59" s="25">
        <v>0.20524334548751555</v>
      </c>
      <c r="BB59" s="25">
        <v>0</v>
      </c>
      <c r="BC59" s="25">
        <v>15</v>
      </c>
      <c r="BD59" s="25">
        <v>11.013333333333332</v>
      </c>
    </row>
    <row r="60" spans="52:56" x14ac:dyDescent="0.25">
      <c r="AZ60" s="25">
        <v>57</v>
      </c>
      <c r="BA60" s="25">
        <v>0.20524334548751555</v>
      </c>
      <c r="BB60" s="25">
        <v>0</v>
      </c>
      <c r="BC60" s="25">
        <v>15</v>
      </c>
      <c r="BD60" s="25">
        <v>11.209999999999999</v>
      </c>
    </row>
    <row r="61" spans="52:56" x14ac:dyDescent="0.25">
      <c r="AZ61" s="25">
        <v>58</v>
      </c>
      <c r="BA61" s="25">
        <v>0.20524334548751555</v>
      </c>
      <c r="BB61" s="25">
        <v>0</v>
      </c>
      <c r="BC61" s="25">
        <v>15</v>
      </c>
      <c r="BD61" s="25">
        <v>11.406666666666666</v>
      </c>
    </row>
    <row r="62" spans="52:56" x14ac:dyDescent="0.25">
      <c r="AZ62" s="25">
        <v>59</v>
      </c>
      <c r="BA62" s="25">
        <v>0.20524334548751555</v>
      </c>
      <c r="BB62" s="25">
        <v>0</v>
      </c>
      <c r="BC62" s="25">
        <v>15</v>
      </c>
      <c r="BD62" s="25">
        <v>11.603333333333333</v>
      </c>
    </row>
    <row r="63" spans="52:56" x14ac:dyDescent="0.25">
      <c r="AZ63" s="25">
        <v>60</v>
      </c>
      <c r="BA63" s="25">
        <v>0.20524334548751555</v>
      </c>
      <c r="BB63" s="25">
        <v>0</v>
      </c>
      <c r="BC63" s="25">
        <v>15</v>
      </c>
      <c r="BD63" s="25">
        <v>11.799999999999999</v>
      </c>
    </row>
    <row r="64" spans="52:56" x14ac:dyDescent="0.25">
      <c r="AZ64" s="24">
        <v>61</v>
      </c>
      <c r="BA64" s="24">
        <v>0.20524334548751555</v>
      </c>
      <c r="BB64" s="24">
        <v>0</v>
      </c>
      <c r="BC64" s="24">
        <v>15</v>
      </c>
      <c r="BD64" s="24">
        <v>11.996666666666666</v>
      </c>
    </row>
    <row r="65" spans="52:56" x14ac:dyDescent="0.25">
      <c r="AZ65" s="24">
        <v>62</v>
      </c>
      <c r="BA65" s="24">
        <v>0.20524334548751555</v>
      </c>
      <c r="BB65" s="24">
        <v>0</v>
      </c>
      <c r="BC65" s="24">
        <v>15</v>
      </c>
      <c r="BD65" s="24">
        <v>12.193333333333333</v>
      </c>
    </row>
    <row r="66" spans="52:56" x14ac:dyDescent="0.25">
      <c r="AZ66" s="24">
        <v>63</v>
      </c>
      <c r="BA66" s="24">
        <v>0.20524334548751555</v>
      </c>
      <c r="BB66" s="24">
        <v>0</v>
      </c>
      <c r="BC66" s="24">
        <v>15</v>
      </c>
      <c r="BD66" s="24">
        <v>12.389999999999999</v>
      </c>
    </row>
    <row r="67" spans="52:56" x14ac:dyDescent="0.25">
      <c r="AZ67" s="24">
        <v>64</v>
      </c>
      <c r="BA67" s="24">
        <v>0.20524334548751555</v>
      </c>
      <c r="BB67" s="24">
        <v>0</v>
      </c>
      <c r="BC67" s="24">
        <v>15</v>
      </c>
      <c r="BD67" s="24">
        <v>12.586666666666666</v>
      </c>
    </row>
    <row r="68" spans="52:56" x14ac:dyDescent="0.25">
      <c r="AZ68" s="24">
        <v>65</v>
      </c>
      <c r="BA68" s="24">
        <v>0.20524334548751555</v>
      </c>
      <c r="BB68" s="24">
        <v>0</v>
      </c>
      <c r="BC68" s="24">
        <v>15</v>
      </c>
      <c r="BD68" s="24">
        <v>12.783333333333333</v>
      </c>
    </row>
    <row r="69" spans="52:56" x14ac:dyDescent="0.25">
      <c r="AZ69" s="24">
        <v>66</v>
      </c>
      <c r="BA69" s="24">
        <v>0.20524334548751555</v>
      </c>
      <c r="BB69" s="24">
        <v>0</v>
      </c>
      <c r="BC69" s="24">
        <v>15</v>
      </c>
      <c r="BD69" s="24">
        <v>12.979999999999999</v>
      </c>
    </row>
    <row r="70" spans="52:56" x14ac:dyDescent="0.25">
      <c r="AZ70" s="24">
        <v>67</v>
      </c>
      <c r="BA70" s="24">
        <v>0.20524334548751555</v>
      </c>
      <c r="BB70" s="24">
        <v>0</v>
      </c>
      <c r="BC70" s="24">
        <v>15</v>
      </c>
      <c r="BD70" s="24">
        <v>13.176666666666666</v>
      </c>
    </row>
    <row r="71" spans="52:56" x14ac:dyDescent="0.25">
      <c r="AZ71" s="24">
        <v>68</v>
      </c>
      <c r="BA71" s="24">
        <v>0.20524334548751555</v>
      </c>
      <c r="BB71" s="24">
        <v>0</v>
      </c>
      <c r="BC71" s="24">
        <v>15</v>
      </c>
      <c r="BD71" s="24">
        <v>13.373333333333333</v>
      </c>
    </row>
    <row r="72" spans="52:56" x14ac:dyDescent="0.25">
      <c r="AZ72" s="24">
        <v>69</v>
      </c>
      <c r="BA72" s="24">
        <v>0.20524334548751555</v>
      </c>
      <c r="BB72" s="24">
        <v>0</v>
      </c>
      <c r="BC72" s="24">
        <v>15</v>
      </c>
      <c r="BD72" s="24">
        <v>13.569999999999999</v>
      </c>
    </row>
    <row r="73" spans="52:56" x14ac:dyDescent="0.25">
      <c r="AZ73" s="24">
        <v>70</v>
      </c>
      <c r="BA73" s="24">
        <v>0.20524334548751555</v>
      </c>
      <c r="BB73" s="24">
        <v>1</v>
      </c>
      <c r="BC73" s="24">
        <v>16</v>
      </c>
      <c r="BD73" s="24">
        <v>13.766666666666666</v>
      </c>
    </row>
    <row r="74" spans="52:56" x14ac:dyDescent="0.25">
      <c r="AZ74" s="24">
        <v>71</v>
      </c>
      <c r="BA74" s="24">
        <v>0.20524334548751555</v>
      </c>
      <c r="BB74" s="24">
        <v>0</v>
      </c>
      <c r="BC74" s="24">
        <v>16</v>
      </c>
      <c r="BD74" s="24">
        <v>13.963333333333333</v>
      </c>
    </row>
    <row r="75" spans="52:56" x14ac:dyDescent="0.25">
      <c r="AZ75" s="24">
        <v>72</v>
      </c>
      <c r="BA75" s="24">
        <v>0.20524334548751555</v>
      </c>
      <c r="BB75" s="24">
        <v>0</v>
      </c>
      <c r="BC75" s="24">
        <v>16</v>
      </c>
      <c r="BD75" s="24">
        <v>14.16</v>
      </c>
    </row>
    <row r="76" spans="52:56" x14ac:dyDescent="0.25">
      <c r="AZ76" s="24">
        <v>73</v>
      </c>
      <c r="BA76" s="24">
        <v>0.20524334548751555</v>
      </c>
      <c r="BB76" s="24">
        <v>0</v>
      </c>
      <c r="BC76" s="24">
        <v>16</v>
      </c>
      <c r="BD76" s="24">
        <v>14.356666666666666</v>
      </c>
    </row>
    <row r="77" spans="52:56" x14ac:dyDescent="0.25">
      <c r="AZ77" s="24">
        <v>74</v>
      </c>
      <c r="BA77" s="24">
        <v>0.20524334548751555</v>
      </c>
      <c r="BB77" s="24">
        <v>0</v>
      </c>
      <c r="BC77" s="24">
        <v>16</v>
      </c>
      <c r="BD77" s="24">
        <v>14.553333333333333</v>
      </c>
    </row>
    <row r="78" spans="52:56" x14ac:dyDescent="0.25">
      <c r="AZ78" s="24">
        <v>75</v>
      </c>
      <c r="BA78" s="24">
        <v>0.20524334548751555</v>
      </c>
      <c r="BB78" s="24">
        <v>0</v>
      </c>
      <c r="BC78" s="24">
        <v>16</v>
      </c>
      <c r="BD78" s="24">
        <v>14.75</v>
      </c>
    </row>
    <row r="79" spans="52:56" x14ac:dyDescent="0.25">
      <c r="AZ79" s="24">
        <v>76</v>
      </c>
      <c r="BA79" s="24">
        <v>0.20524334548751555</v>
      </c>
      <c r="BB79" s="24">
        <v>0</v>
      </c>
      <c r="BC79" s="24">
        <v>16</v>
      </c>
      <c r="BD79" s="24">
        <v>14.946666666666665</v>
      </c>
    </row>
    <row r="80" spans="52:56" x14ac:dyDescent="0.25">
      <c r="AZ80" s="24">
        <v>77</v>
      </c>
      <c r="BA80" s="24">
        <v>0.20524334548751555</v>
      </c>
      <c r="BB80" s="24">
        <v>1</v>
      </c>
      <c r="BC80" s="24">
        <v>17</v>
      </c>
      <c r="BD80" s="24">
        <v>15.143333333333333</v>
      </c>
    </row>
    <row r="81" spans="52:56" x14ac:dyDescent="0.25">
      <c r="AZ81" s="24">
        <v>78</v>
      </c>
      <c r="BA81" s="24">
        <v>0.20524334548751555</v>
      </c>
      <c r="BB81" s="24">
        <v>0</v>
      </c>
      <c r="BC81" s="24">
        <v>17</v>
      </c>
      <c r="BD81" s="24">
        <v>15.34</v>
      </c>
    </row>
    <row r="82" spans="52:56" x14ac:dyDescent="0.25">
      <c r="AZ82" s="24">
        <v>79</v>
      </c>
      <c r="BA82" s="24">
        <v>0.20524334548751555</v>
      </c>
      <c r="BB82" s="24">
        <v>0</v>
      </c>
      <c r="BC82" s="24">
        <v>17</v>
      </c>
      <c r="BD82" s="24">
        <v>15.536666666666665</v>
      </c>
    </row>
    <row r="83" spans="52:56" x14ac:dyDescent="0.25">
      <c r="AZ83" s="24">
        <v>80</v>
      </c>
      <c r="BA83" s="24">
        <v>0.20524334548751555</v>
      </c>
      <c r="BB83" s="24">
        <v>0</v>
      </c>
      <c r="BC83" s="24">
        <v>17</v>
      </c>
      <c r="BD83" s="24">
        <v>15.733333333333333</v>
      </c>
    </row>
    <row r="84" spans="52:56" x14ac:dyDescent="0.25">
      <c r="AZ84" s="24">
        <v>81</v>
      </c>
      <c r="BA84" s="24">
        <v>0.20524334548751555</v>
      </c>
      <c r="BB84" s="24">
        <v>1</v>
      </c>
      <c r="BC84" s="24">
        <v>18</v>
      </c>
      <c r="BD84" s="24">
        <v>15.93</v>
      </c>
    </row>
    <row r="85" spans="52:56" x14ac:dyDescent="0.25">
      <c r="AZ85" s="24">
        <v>82</v>
      </c>
      <c r="BA85" s="24">
        <v>0.20524334548751555</v>
      </c>
      <c r="BB85" s="24">
        <v>0</v>
      </c>
      <c r="BC85" s="24">
        <v>18</v>
      </c>
      <c r="BD85" s="24">
        <v>16.126666666666665</v>
      </c>
    </row>
    <row r="86" spans="52:56" x14ac:dyDescent="0.25">
      <c r="AZ86" s="24">
        <v>83</v>
      </c>
      <c r="BA86" s="24">
        <v>0.20524334548751555</v>
      </c>
      <c r="BB86" s="24">
        <v>0</v>
      </c>
      <c r="BC86" s="24">
        <v>18</v>
      </c>
      <c r="BD86" s="24">
        <v>16.323333333333334</v>
      </c>
    </row>
    <row r="87" spans="52:56" x14ac:dyDescent="0.25">
      <c r="AZ87" s="24">
        <v>84</v>
      </c>
      <c r="BA87" s="24">
        <v>0.20524334548751555</v>
      </c>
      <c r="BB87" s="24">
        <v>0</v>
      </c>
      <c r="BC87" s="24">
        <v>18</v>
      </c>
      <c r="BD87" s="24">
        <v>16.52</v>
      </c>
    </row>
    <row r="88" spans="52:56" x14ac:dyDescent="0.25">
      <c r="AZ88" s="24">
        <v>85</v>
      </c>
      <c r="BA88" s="24">
        <v>0.20524334548751555</v>
      </c>
      <c r="BB88" s="24">
        <v>0</v>
      </c>
      <c r="BC88" s="24">
        <v>18</v>
      </c>
      <c r="BD88" s="24">
        <v>16.716666666666665</v>
      </c>
    </row>
    <row r="89" spans="52:56" x14ac:dyDescent="0.25">
      <c r="AZ89" s="24">
        <v>86</v>
      </c>
      <c r="BA89" s="24">
        <v>0.20524334548751555</v>
      </c>
      <c r="BB89" s="24">
        <v>0</v>
      </c>
      <c r="BC89" s="24">
        <v>18</v>
      </c>
      <c r="BD89" s="24">
        <v>16.913333333333334</v>
      </c>
    </row>
    <row r="90" spans="52:56" x14ac:dyDescent="0.25">
      <c r="AZ90" s="24">
        <v>87</v>
      </c>
      <c r="BA90" s="24">
        <v>0.20524334548751555</v>
      </c>
      <c r="BB90" s="24">
        <v>0</v>
      </c>
      <c r="BC90" s="24">
        <v>18</v>
      </c>
      <c r="BD90" s="24">
        <v>17.11</v>
      </c>
    </row>
    <row r="91" spans="52:56" x14ac:dyDescent="0.25">
      <c r="AZ91" s="24">
        <v>88</v>
      </c>
      <c r="BA91" s="24">
        <v>0.20524334548751555</v>
      </c>
      <c r="BB91" s="24">
        <v>1</v>
      </c>
      <c r="BC91" s="24">
        <v>19</v>
      </c>
      <c r="BD91" s="24">
        <v>17.306666666666665</v>
      </c>
    </row>
    <row r="92" spans="52:56" x14ac:dyDescent="0.25">
      <c r="AZ92" s="24">
        <v>89</v>
      </c>
      <c r="BA92" s="24">
        <v>0.20524334548751555</v>
      </c>
      <c r="BB92" s="24">
        <v>0</v>
      </c>
      <c r="BC92" s="24">
        <v>19</v>
      </c>
      <c r="BD92" s="24">
        <v>17.503333333333334</v>
      </c>
    </row>
    <row r="93" spans="52:56" x14ac:dyDescent="0.25">
      <c r="AZ93" s="24">
        <v>90</v>
      </c>
      <c r="BA93" s="24">
        <v>0.20524334548751555</v>
      </c>
      <c r="BB93" s="24">
        <v>1</v>
      </c>
      <c r="BC93" s="24">
        <v>20</v>
      </c>
      <c r="BD93" s="24">
        <v>17.7</v>
      </c>
    </row>
    <row r="94" spans="52:56" x14ac:dyDescent="0.25">
      <c r="AZ94" s="25">
        <v>91</v>
      </c>
      <c r="BA94" s="25">
        <v>0.20524334548751555</v>
      </c>
      <c r="BB94" s="25">
        <v>0</v>
      </c>
      <c r="BC94" s="25">
        <v>20</v>
      </c>
      <c r="BD94" s="25">
        <v>17.896666666666665</v>
      </c>
    </row>
    <row r="95" spans="52:56" x14ac:dyDescent="0.25">
      <c r="AZ95" s="25">
        <v>92</v>
      </c>
      <c r="BA95" s="25">
        <v>0.20524334548751555</v>
      </c>
      <c r="BB95" s="25">
        <v>0</v>
      </c>
      <c r="BC95" s="25">
        <v>20</v>
      </c>
      <c r="BD95" s="25">
        <v>18.093333333333334</v>
      </c>
    </row>
    <row r="96" spans="52:56" x14ac:dyDescent="0.25">
      <c r="AZ96" s="25">
        <v>93</v>
      </c>
      <c r="BA96" s="25">
        <v>0.20524334548751555</v>
      </c>
      <c r="BB96" s="25">
        <v>0</v>
      </c>
      <c r="BC96" s="25">
        <v>20</v>
      </c>
      <c r="BD96" s="25">
        <v>18.29</v>
      </c>
    </row>
    <row r="97" spans="52:56" x14ac:dyDescent="0.25">
      <c r="AZ97" s="25">
        <v>94</v>
      </c>
      <c r="BA97" s="25">
        <v>0.20524334548751555</v>
      </c>
      <c r="BB97" s="25">
        <v>0</v>
      </c>
      <c r="BC97" s="25">
        <v>20</v>
      </c>
      <c r="BD97" s="25">
        <v>18.486666666666665</v>
      </c>
    </row>
    <row r="98" spans="52:56" x14ac:dyDescent="0.25">
      <c r="AZ98" s="25">
        <v>95</v>
      </c>
      <c r="BA98" s="25">
        <v>0.20524334548751555</v>
      </c>
      <c r="BB98" s="25">
        <v>0</v>
      </c>
      <c r="BC98" s="25">
        <v>20</v>
      </c>
      <c r="BD98" s="25">
        <v>18.683333333333334</v>
      </c>
    </row>
    <row r="99" spans="52:56" x14ac:dyDescent="0.25">
      <c r="AZ99" s="25">
        <v>96</v>
      </c>
      <c r="BA99" s="25">
        <v>0.20524334548751555</v>
      </c>
      <c r="BB99" s="25">
        <v>1</v>
      </c>
      <c r="BC99" s="25">
        <v>21</v>
      </c>
      <c r="BD99" s="25">
        <v>18.88</v>
      </c>
    </row>
    <row r="100" spans="52:56" x14ac:dyDescent="0.25">
      <c r="AZ100" s="25">
        <v>97</v>
      </c>
      <c r="BA100" s="25">
        <v>0.20524334548751555</v>
      </c>
      <c r="BB100" s="25">
        <v>0</v>
      </c>
      <c r="BC100" s="25">
        <v>21</v>
      </c>
      <c r="BD100" s="25">
        <v>19.076666666666664</v>
      </c>
    </row>
    <row r="101" spans="52:56" x14ac:dyDescent="0.25">
      <c r="AZ101" s="25">
        <v>98</v>
      </c>
      <c r="BA101" s="25">
        <v>0.20524334548751555</v>
      </c>
      <c r="BB101" s="25">
        <v>0</v>
      </c>
      <c r="BC101" s="25">
        <v>21</v>
      </c>
      <c r="BD101" s="25">
        <v>19.273333333333333</v>
      </c>
    </row>
    <row r="102" spans="52:56" x14ac:dyDescent="0.25">
      <c r="AZ102" s="25">
        <v>99</v>
      </c>
      <c r="BA102" s="25">
        <v>0.20524334548751555</v>
      </c>
      <c r="BB102" s="25">
        <v>1</v>
      </c>
      <c r="BC102" s="25">
        <v>22</v>
      </c>
      <c r="BD102" s="25">
        <v>19.47</v>
      </c>
    </row>
    <row r="103" spans="52:56" x14ac:dyDescent="0.25">
      <c r="AZ103" s="25">
        <v>100</v>
      </c>
      <c r="BA103" s="25">
        <v>0.20524334548751555</v>
      </c>
      <c r="BB103" s="25">
        <v>0</v>
      </c>
      <c r="BC103" s="25">
        <v>22</v>
      </c>
      <c r="BD103" s="25">
        <v>19.666666666666664</v>
      </c>
    </row>
    <row r="104" spans="52:56" x14ac:dyDescent="0.25">
      <c r="AZ104" s="25">
        <v>101</v>
      </c>
      <c r="BA104" s="25">
        <v>0.20524334548751555</v>
      </c>
      <c r="BB104" s="25">
        <v>0</v>
      </c>
      <c r="BC104" s="25">
        <v>22</v>
      </c>
      <c r="BD104" s="25">
        <v>19.863333333333333</v>
      </c>
    </row>
    <row r="105" spans="52:56" x14ac:dyDescent="0.25">
      <c r="AZ105" s="25">
        <v>102</v>
      </c>
      <c r="BA105" s="25">
        <v>0.20524334548751555</v>
      </c>
      <c r="BB105" s="25">
        <v>0</v>
      </c>
      <c r="BC105" s="25">
        <v>22</v>
      </c>
      <c r="BD105" s="25">
        <v>20.059999999999999</v>
      </c>
    </row>
    <row r="106" spans="52:56" x14ac:dyDescent="0.25">
      <c r="AZ106" s="25">
        <v>103</v>
      </c>
      <c r="BA106" s="25">
        <v>0.20524334548751555</v>
      </c>
      <c r="BB106" s="25">
        <v>0</v>
      </c>
      <c r="BC106" s="25">
        <v>22</v>
      </c>
      <c r="BD106" s="25">
        <v>20.256666666666664</v>
      </c>
    </row>
    <row r="107" spans="52:56" x14ac:dyDescent="0.25">
      <c r="AZ107" s="25">
        <v>104</v>
      </c>
      <c r="BA107" s="25">
        <v>0.20524334548751555</v>
      </c>
      <c r="BB107" s="25">
        <v>0</v>
      </c>
      <c r="BC107" s="25">
        <v>22</v>
      </c>
      <c r="BD107" s="25">
        <v>20.453333333333333</v>
      </c>
    </row>
    <row r="108" spans="52:56" x14ac:dyDescent="0.25">
      <c r="AZ108" s="25">
        <v>105</v>
      </c>
      <c r="BA108" s="25">
        <v>0.20524334548751555</v>
      </c>
      <c r="BB108" s="25">
        <v>1</v>
      </c>
      <c r="BC108" s="25">
        <v>23</v>
      </c>
      <c r="BD108" s="25">
        <v>20.65</v>
      </c>
    </row>
    <row r="109" spans="52:56" x14ac:dyDescent="0.25">
      <c r="AZ109" s="25">
        <v>106</v>
      </c>
      <c r="BA109" s="25">
        <v>0.20524334548751555</v>
      </c>
      <c r="BB109" s="25">
        <v>1</v>
      </c>
      <c r="BC109" s="25">
        <v>24</v>
      </c>
      <c r="BD109" s="25">
        <v>20.846666666666664</v>
      </c>
    </row>
    <row r="110" spans="52:56" x14ac:dyDescent="0.25">
      <c r="AZ110" s="25">
        <v>107</v>
      </c>
      <c r="BA110" s="25">
        <v>0.20524334548751555</v>
      </c>
      <c r="BB110" s="25">
        <v>0</v>
      </c>
      <c r="BC110" s="25">
        <v>24</v>
      </c>
      <c r="BD110" s="25">
        <v>21.043333333333333</v>
      </c>
    </row>
    <row r="111" spans="52:56" x14ac:dyDescent="0.25">
      <c r="AZ111" s="25">
        <v>108</v>
      </c>
      <c r="BA111" s="25">
        <v>0.20524334548751555</v>
      </c>
      <c r="BB111" s="25">
        <v>0</v>
      </c>
      <c r="BC111" s="25">
        <v>24</v>
      </c>
      <c r="BD111" s="25">
        <v>21.24</v>
      </c>
    </row>
    <row r="112" spans="52:56" x14ac:dyDescent="0.25">
      <c r="AZ112" s="25">
        <v>109</v>
      </c>
      <c r="BA112" s="25">
        <v>0.20524334548751555</v>
      </c>
      <c r="BB112" s="25">
        <v>0</v>
      </c>
      <c r="BC112" s="25">
        <v>24</v>
      </c>
      <c r="BD112" s="25">
        <v>21.436666666666664</v>
      </c>
    </row>
    <row r="113" spans="52:56" x14ac:dyDescent="0.25">
      <c r="AZ113" s="25">
        <v>110</v>
      </c>
      <c r="BA113" s="25">
        <v>0.20524334548751555</v>
      </c>
      <c r="BB113" s="25">
        <v>0</v>
      </c>
      <c r="BC113" s="25">
        <v>24</v>
      </c>
      <c r="BD113" s="25">
        <v>21.633333333333333</v>
      </c>
    </row>
    <row r="114" spans="52:56" x14ac:dyDescent="0.25">
      <c r="AZ114" s="25">
        <v>111</v>
      </c>
      <c r="BA114" s="25">
        <v>0.20524334548751555</v>
      </c>
      <c r="BB114" s="25">
        <v>0</v>
      </c>
      <c r="BC114" s="25">
        <v>24</v>
      </c>
      <c r="BD114" s="25">
        <v>21.83</v>
      </c>
    </row>
    <row r="115" spans="52:56" x14ac:dyDescent="0.25">
      <c r="AZ115" s="25">
        <v>112</v>
      </c>
      <c r="BA115" s="25">
        <v>0.20524334548751555</v>
      </c>
      <c r="BB115" s="25">
        <v>0</v>
      </c>
      <c r="BC115" s="25">
        <v>24</v>
      </c>
      <c r="BD115" s="25">
        <v>22.026666666666664</v>
      </c>
    </row>
    <row r="116" spans="52:56" x14ac:dyDescent="0.25">
      <c r="AZ116" s="25">
        <v>113</v>
      </c>
      <c r="BA116" s="25">
        <v>0.20524334548751555</v>
      </c>
      <c r="BB116" s="25">
        <v>0</v>
      </c>
      <c r="BC116" s="25">
        <v>24</v>
      </c>
      <c r="BD116" s="25">
        <v>22.223333333333333</v>
      </c>
    </row>
    <row r="117" spans="52:56" x14ac:dyDescent="0.25">
      <c r="AZ117" s="25">
        <v>114</v>
      </c>
      <c r="BA117" s="25">
        <v>0.20524334548751555</v>
      </c>
      <c r="BB117" s="25">
        <v>0</v>
      </c>
      <c r="BC117" s="25">
        <v>24</v>
      </c>
      <c r="BD117" s="25">
        <v>22.419999999999998</v>
      </c>
    </row>
    <row r="118" spans="52:56" x14ac:dyDescent="0.25">
      <c r="AZ118" s="25">
        <v>115</v>
      </c>
      <c r="BA118" s="25">
        <v>0.20524334548751555</v>
      </c>
      <c r="BB118" s="25">
        <v>0</v>
      </c>
      <c r="BC118" s="25">
        <v>24</v>
      </c>
      <c r="BD118" s="25">
        <v>22.616666666666667</v>
      </c>
    </row>
    <row r="119" spans="52:56" x14ac:dyDescent="0.25">
      <c r="AZ119" s="25">
        <v>116</v>
      </c>
      <c r="BA119" s="25">
        <v>0.20524334548751555</v>
      </c>
      <c r="BB119" s="25">
        <v>0</v>
      </c>
      <c r="BC119" s="25">
        <v>24</v>
      </c>
      <c r="BD119" s="25">
        <v>22.813333333333333</v>
      </c>
    </row>
    <row r="120" spans="52:56" x14ac:dyDescent="0.25">
      <c r="AZ120" s="25">
        <v>117</v>
      </c>
      <c r="BA120" s="25">
        <v>0.20524334548751555</v>
      </c>
      <c r="BB120" s="25">
        <v>0</v>
      </c>
      <c r="BC120" s="25">
        <v>24</v>
      </c>
      <c r="BD120" s="25">
        <v>23.009999999999998</v>
      </c>
    </row>
    <row r="121" spans="52:56" x14ac:dyDescent="0.25">
      <c r="AZ121" s="25">
        <v>118</v>
      </c>
      <c r="BA121" s="25">
        <v>0.20524334548751555</v>
      </c>
      <c r="BB121" s="25">
        <v>0</v>
      </c>
      <c r="BC121" s="25">
        <v>24</v>
      </c>
      <c r="BD121" s="25">
        <v>23.206666666666667</v>
      </c>
    </row>
    <row r="122" spans="52:56" x14ac:dyDescent="0.25">
      <c r="AZ122" s="25">
        <v>119</v>
      </c>
      <c r="BA122" s="25">
        <v>0.20524334548751555</v>
      </c>
      <c r="BB122" s="25">
        <v>0</v>
      </c>
      <c r="BC122" s="25">
        <v>24</v>
      </c>
      <c r="BD122" s="25">
        <v>23.403333333333332</v>
      </c>
    </row>
    <row r="123" spans="52:56" x14ac:dyDescent="0.25">
      <c r="AZ123" s="25">
        <v>120</v>
      </c>
      <c r="BA123" s="25">
        <v>0.20524334548751555</v>
      </c>
      <c r="BB123" s="25">
        <v>1</v>
      </c>
      <c r="BC123" s="25">
        <v>25</v>
      </c>
      <c r="BD123" s="25">
        <v>23.599999999999998</v>
      </c>
    </row>
    <row r="124" spans="52:56" x14ac:dyDescent="0.25">
      <c r="AZ124" s="24">
        <v>121</v>
      </c>
      <c r="BA124" s="24">
        <v>0.20524334548751555</v>
      </c>
      <c r="BB124" s="24">
        <v>0</v>
      </c>
      <c r="BC124" s="24">
        <v>25</v>
      </c>
      <c r="BD124" s="24">
        <v>23.796666666666667</v>
      </c>
    </row>
    <row r="125" spans="52:56" x14ac:dyDescent="0.25">
      <c r="AZ125" s="24">
        <v>122</v>
      </c>
      <c r="BA125" s="24">
        <v>0.20524334548751555</v>
      </c>
      <c r="BB125" s="24">
        <v>0</v>
      </c>
      <c r="BC125" s="24">
        <v>25</v>
      </c>
      <c r="BD125" s="24">
        <v>23.993333333333332</v>
      </c>
    </row>
    <row r="126" spans="52:56" x14ac:dyDescent="0.25">
      <c r="AZ126" s="24">
        <v>123</v>
      </c>
      <c r="BA126" s="24">
        <v>0.20524334548751555</v>
      </c>
      <c r="BB126" s="24">
        <v>0</v>
      </c>
      <c r="BC126" s="24">
        <v>25</v>
      </c>
      <c r="BD126" s="24">
        <v>24.189999999999998</v>
      </c>
    </row>
    <row r="127" spans="52:56" x14ac:dyDescent="0.25">
      <c r="AZ127" s="24">
        <v>124</v>
      </c>
      <c r="BA127" s="24">
        <v>0.20524334548751555</v>
      </c>
      <c r="BB127" s="24">
        <v>1</v>
      </c>
      <c r="BC127" s="24">
        <v>26</v>
      </c>
      <c r="BD127" s="24">
        <v>24.386666666666667</v>
      </c>
    </row>
    <row r="128" spans="52:56" x14ac:dyDescent="0.25">
      <c r="AZ128" s="24">
        <v>125</v>
      </c>
      <c r="BA128" s="24">
        <v>0.20524334548751555</v>
      </c>
      <c r="BB128" s="24">
        <v>0</v>
      </c>
      <c r="BC128" s="24">
        <v>26</v>
      </c>
      <c r="BD128" s="24">
        <v>24.583333333333332</v>
      </c>
    </row>
    <row r="129" spans="52:56" x14ac:dyDescent="0.25">
      <c r="AZ129" s="24">
        <v>126</v>
      </c>
      <c r="BA129" s="24">
        <v>0.20524334548751555</v>
      </c>
      <c r="BB129" s="24">
        <v>0</v>
      </c>
      <c r="BC129" s="24">
        <v>26</v>
      </c>
      <c r="BD129" s="24">
        <v>24.779999999999998</v>
      </c>
    </row>
    <row r="130" spans="52:56" x14ac:dyDescent="0.25">
      <c r="AZ130" s="24">
        <v>127</v>
      </c>
      <c r="BA130" s="24">
        <v>0.20524334548751555</v>
      </c>
      <c r="BB130" s="24">
        <v>0</v>
      </c>
      <c r="BC130" s="24">
        <v>26</v>
      </c>
      <c r="BD130" s="24">
        <v>24.976666666666667</v>
      </c>
    </row>
    <row r="131" spans="52:56" x14ac:dyDescent="0.25">
      <c r="AZ131" s="24">
        <v>128</v>
      </c>
      <c r="BA131" s="24">
        <v>0.20524334548751555</v>
      </c>
      <c r="BB131" s="24">
        <v>0</v>
      </c>
      <c r="BC131" s="24">
        <v>26</v>
      </c>
      <c r="BD131" s="24">
        <v>25.173333333333332</v>
      </c>
    </row>
    <row r="132" spans="52:56" x14ac:dyDescent="0.25">
      <c r="AZ132" s="24">
        <v>129</v>
      </c>
      <c r="BA132" s="24">
        <v>0.20524334548751555</v>
      </c>
      <c r="BB132" s="24">
        <v>0</v>
      </c>
      <c r="BC132" s="24">
        <v>26</v>
      </c>
      <c r="BD132" s="24">
        <v>25.369999999999997</v>
      </c>
    </row>
    <row r="133" spans="52:56" x14ac:dyDescent="0.25">
      <c r="AZ133" s="24">
        <v>130</v>
      </c>
      <c r="BA133" s="24">
        <v>0.20524334548751555</v>
      </c>
      <c r="BB133" s="24">
        <v>1</v>
      </c>
      <c r="BC133" s="24">
        <v>27</v>
      </c>
      <c r="BD133" s="24">
        <v>25.566666666666666</v>
      </c>
    </row>
    <row r="134" spans="52:56" x14ac:dyDescent="0.25">
      <c r="AZ134" s="24">
        <v>131</v>
      </c>
      <c r="BA134" s="24">
        <v>0.20524334548751555</v>
      </c>
      <c r="BB134" s="24">
        <v>0</v>
      </c>
      <c r="BC134" s="24">
        <v>27</v>
      </c>
      <c r="BD134" s="24">
        <v>25.763333333333332</v>
      </c>
    </row>
    <row r="135" spans="52:56" x14ac:dyDescent="0.25">
      <c r="AZ135" s="24">
        <v>132</v>
      </c>
      <c r="BA135" s="24">
        <v>0.20524334548751555</v>
      </c>
      <c r="BB135" s="24">
        <v>0</v>
      </c>
      <c r="BC135" s="24">
        <v>27</v>
      </c>
      <c r="BD135" s="24">
        <v>25.959999999999997</v>
      </c>
    </row>
    <row r="136" spans="52:56" x14ac:dyDescent="0.25">
      <c r="AZ136" s="24">
        <v>133</v>
      </c>
      <c r="BA136" s="24">
        <v>0.20524334548751555</v>
      </c>
      <c r="BB136" s="24">
        <v>1</v>
      </c>
      <c r="BC136" s="24">
        <v>28</v>
      </c>
      <c r="BD136" s="24">
        <v>26.156666666666666</v>
      </c>
    </row>
    <row r="137" spans="52:56" x14ac:dyDescent="0.25">
      <c r="AZ137" s="24">
        <v>134</v>
      </c>
      <c r="BA137" s="24">
        <v>0.20524334548751555</v>
      </c>
      <c r="BB137" s="24">
        <v>1</v>
      </c>
      <c r="BC137" s="24">
        <v>29</v>
      </c>
      <c r="BD137" s="24">
        <v>26.353333333333332</v>
      </c>
    </row>
    <row r="138" spans="52:56" x14ac:dyDescent="0.25">
      <c r="AZ138" s="24">
        <v>135</v>
      </c>
      <c r="BA138" s="24">
        <v>0.20524334548751555</v>
      </c>
      <c r="BB138" s="24">
        <v>1</v>
      </c>
      <c r="BC138" s="24">
        <v>30</v>
      </c>
      <c r="BD138" s="24">
        <v>26.549999999999997</v>
      </c>
    </row>
    <row r="139" spans="52:56" x14ac:dyDescent="0.25">
      <c r="AZ139" s="24">
        <v>136</v>
      </c>
      <c r="BA139" s="24">
        <v>0.20524334548751555</v>
      </c>
      <c r="BB139" s="24">
        <v>0</v>
      </c>
      <c r="BC139" s="24">
        <v>30</v>
      </c>
      <c r="BD139" s="24">
        <v>26.746666666666666</v>
      </c>
    </row>
    <row r="140" spans="52:56" x14ac:dyDescent="0.25">
      <c r="AZ140" s="24">
        <v>137</v>
      </c>
      <c r="BA140" s="24">
        <v>0.20524334548751555</v>
      </c>
      <c r="BB140" s="24">
        <v>0</v>
      </c>
      <c r="BC140" s="24">
        <v>30</v>
      </c>
      <c r="BD140" s="24">
        <v>26.943333333333332</v>
      </c>
    </row>
    <row r="141" spans="52:56" x14ac:dyDescent="0.25">
      <c r="AZ141" s="24">
        <v>138</v>
      </c>
      <c r="BA141" s="24">
        <v>0.20524334548751555</v>
      </c>
      <c r="BB141" s="24">
        <v>0</v>
      </c>
      <c r="BC141" s="24">
        <v>30</v>
      </c>
      <c r="BD141" s="24">
        <v>27.139999999999997</v>
      </c>
    </row>
    <row r="142" spans="52:56" x14ac:dyDescent="0.25">
      <c r="AZ142" s="24">
        <v>139</v>
      </c>
      <c r="BA142" s="24">
        <v>0.20524334548751555</v>
      </c>
      <c r="BB142" s="24">
        <v>1</v>
      </c>
      <c r="BC142" s="24">
        <v>31</v>
      </c>
      <c r="BD142" s="24">
        <v>27.336666666666666</v>
      </c>
    </row>
    <row r="143" spans="52:56" x14ac:dyDescent="0.25">
      <c r="AZ143" s="24">
        <v>140</v>
      </c>
      <c r="BA143" s="24">
        <v>0.20524334548751555</v>
      </c>
      <c r="BB143" s="24">
        <v>0</v>
      </c>
      <c r="BC143" s="24">
        <v>31</v>
      </c>
      <c r="BD143" s="24">
        <v>27.533333333333331</v>
      </c>
    </row>
    <row r="144" spans="52:56" x14ac:dyDescent="0.25">
      <c r="AZ144" s="24">
        <v>141</v>
      </c>
      <c r="BA144" s="24">
        <v>0.20524334548751555</v>
      </c>
      <c r="BB144" s="24">
        <v>0</v>
      </c>
      <c r="BC144" s="24">
        <v>31</v>
      </c>
      <c r="BD144" s="24">
        <v>27.729999999999997</v>
      </c>
    </row>
    <row r="145" spans="52:56" x14ac:dyDescent="0.25">
      <c r="AZ145" s="24">
        <v>142</v>
      </c>
      <c r="BA145" s="24">
        <v>0.20524334548751555</v>
      </c>
      <c r="BB145" s="24">
        <v>0</v>
      </c>
      <c r="BC145" s="24">
        <v>31</v>
      </c>
      <c r="BD145" s="24">
        <v>27.926666666666666</v>
      </c>
    </row>
    <row r="146" spans="52:56" x14ac:dyDescent="0.25">
      <c r="AZ146" s="24">
        <v>143</v>
      </c>
      <c r="BA146" s="24">
        <v>0.20524334548751555</v>
      </c>
      <c r="BB146" s="24">
        <v>0</v>
      </c>
      <c r="BC146" s="24">
        <v>31</v>
      </c>
      <c r="BD146" s="24">
        <v>28.123333333333331</v>
      </c>
    </row>
    <row r="147" spans="52:56" x14ac:dyDescent="0.25">
      <c r="AZ147" s="24">
        <v>144</v>
      </c>
      <c r="BA147" s="24">
        <v>0.20524334548751555</v>
      </c>
      <c r="BB147" s="24">
        <v>0</v>
      </c>
      <c r="BC147" s="24">
        <v>31</v>
      </c>
      <c r="BD147" s="24">
        <v>28.32</v>
      </c>
    </row>
    <row r="148" spans="52:56" x14ac:dyDescent="0.25">
      <c r="AZ148" s="24">
        <v>145</v>
      </c>
      <c r="BA148" s="24">
        <v>0.20524334548751555</v>
      </c>
      <c r="BB148" s="24">
        <v>0</v>
      </c>
      <c r="BC148" s="24">
        <v>31</v>
      </c>
      <c r="BD148" s="24">
        <v>28.516666666666666</v>
      </c>
    </row>
    <row r="149" spans="52:56" x14ac:dyDescent="0.25">
      <c r="AZ149" s="24">
        <v>146</v>
      </c>
      <c r="BA149" s="24">
        <v>0.20524334548751555</v>
      </c>
      <c r="BB149" s="24">
        <v>0</v>
      </c>
      <c r="BC149" s="24">
        <v>31</v>
      </c>
      <c r="BD149" s="24">
        <v>28.713333333333331</v>
      </c>
    </row>
    <row r="150" spans="52:56" x14ac:dyDescent="0.25">
      <c r="AZ150" s="24">
        <v>147</v>
      </c>
      <c r="BA150" s="24">
        <v>0.20524334548751555</v>
      </c>
      <c r="BB150" s="24">
        <v>0</v>
      </c>
      <c r="BC150" s="24">
        <v>31</v>
      </c>
      <c r="BD150" s="24">
        <v>28.91</v>
      </c>
    </row>
    <row r="151" spans="52:56" x14ac:dyDescent="0.25">
      <c r="AZ151" s="24">
        <v>148</v>
      </c>
      <c r="BA151" s="24">
        <v>0.20524334548751555</v>
      </c>
      <c r="BB151" s="24">
        <v>1</v>
      </c>
      <c r="BC151" s="24">
        <v>32</v>
      </c>
      <c r="BD151" s="24">
        <v>29.106666666666666</v>
      </c>
    </row>
    <row r="152" spans="52:56" x14ac:dyDescent="0.25">
      <c r="AZ152" s="24">
        <v>149</v>
      </c>
      <c r="BA152" s="24">
        <v>0.20524334548751555</v>
      </c>
      <c r="BB152" s="24">
        <v>0</v>
      </c>
      <c r="BC152" s="24">
        <v>32</v>
      </c>
      <c r="BD152" s="24">
        <v>29.303333333333331</v>
      </c>
    </row>
    <row r="153" spans="52:56" x14ac:dyDescent="0.25">
      <c r="AZ153" s="24">
        <v>150</v>
      </c>
      <c r="BA153" s="24">
        <v>0.20524334548751555</v>
      </c>
      <c r="BB153" s="24">
        <v>0</v>
      </c>
      <c r="BC153" s="24">
        <v>32</v>
      </c>
      <c r="BD153" s="24">
        <v>29.5</v>
      </c>
    </row>
    <row r="154" spans="52:56" x14ac:dyDescent="0.25">
      <c r="AZ154" s="25">
        <v>151</v>
      </c>
      <c r="BA154" s="25">
        <v>0.20524334548751555</v>
      </c>
      <c r="BB154" s="25">
        <v>0</v>
      </c>
      <c r="BC154" s="25">
        <v>32</v>
      </c>
      <c r="BD154" s="25">
        <v>29.696666666666665</v>
      </c>
    </row>
    <row r="155" spans="52:56" x14ac:dyDescent="0.25">
      <c r="AZ155" s="25">
        <v>152</v>
      </c>
      <c r="BA155" s="25">
        <v>0.20524334548751555</v>
      </c>
      <c r="BB155" s="25">
        <v>0</v>
      </c>
      <c r="BC155" s="25">
        <v>32</v>
      </c>
      <c r="BD155" s="25">
        <v>29.893333333333331</v>
      </c>
    </row>
    <row r="156" spans="52:56" x14ac:dyDescent="0.25">
      <c r="AZ156" s="25">
        <v>153</v>
      </c>
      <c r="BA156" s="25">
        <v>0.20524334548751555</v>
      </c>
      <c r="BB156" s="25">
        <v>0</v>
      </c>
      <c r="BC156" s="25">
        <v>32</v>
      </c>
      <c r="BD156" s="25">
        <v>30.09</v>
      </c>
    </row>
    <row r="157" spans="52:56" x14ac:dyDescent="0.25">
      <c r="AZ157" s="25">
        <v>154</v>
      </c>
      <c r="BA157" s="25">
        <v>0.20524334548751555</v>
      </c>
      <c r="BB157" s="25">
        <v>0</v>
      </c>
      <c r="BC157" s="25">
        <v>32</v>
      </c>
      <c r="BD157" s="25">
        <v>30.286666666666665</v>
      </c>
    </row>
    <row r="158" spans="52:56" x14ac:dyDescent="0.25">
      <c r="AZ158" s="25">
        <v>155</v>
      </c>
      <c r="BA158" s="25">
        <v>0.20524334548751555</v>
      </c>
      <c r="BB158" s="25">
        <v>1</v>
      </c>
      <c r="BC158" s="25">
        <v>33</v>
      </c>
      <c r="BD158" s="25">
        <v>30.483333333333331</v>
      </c>
    </row>
    <row r="159" spans="52:56" x14ac:dyDescent="0.25">
      <c r="AZ159" s="25">
        <v>156</v>
      </c>
      <c r="BA159" s="25">
        <v>0.20524334548751555</v>
      </c>
      <c r="BB159" s="25">
        <v>0</v>
      </c>
      <c r="BC159" s="25">
        <v>33</v>
      </c>
      <c r="BD159" s="25">
        <v>30.68</v>
      </c>
    </row>
    <row r="160" spans="52:56" x14ac:dyDescent="0.25">
      <c r="AZ160" s="25">
        <v>157</v>
      </c>
      <c r="BA160" s="25">
        <v>0.20524334548751555</v>
      </c>
      <c r="BB160" s="25">
        <v>0</v>
      </c>
      <c r="BC160" s="25">
        <v>33</v>
      </c>
      <c r="BD160" s="25">
        <v>30.876666666666665</v>
      </c>
    </row>
    <row r="161" spans="52:56" x14ac:dyDescent="0.25">
      <c r="AZ161" s="25">
        <v>158</v>
      </c>
      <c r="BA161" s="25">
        <v>0.20524334548751555</v>
      </c>
      <c r="BB161" s="25">
        <v>1</v>
      </c>
      <c r="BC161" s="25">
        <v>34</v>
      </c>
      <c r="BD161" s="25">
        <v>31.073333333333331</v>
      </c>
    </row>
    <row r="162" spans="52:56" x14ac:dyDescent="0.25">
      <c r="AZ162" s="25">
        <v>159</v>
      </c>
      <c r="BA162" s="25">
        <v>0.20524334548751555</v>
      </c>
      <c r="BB162" s="25">
        <v>0</v>
      </c>
      <c r="BC162" s="25">
        <v>34</v>
      </c>
      <c r="BD162" s="25">
        <v>31.27</v>
      </c>
    </row>
    <row r="163" spans="52:56" x14ac:dyDescent="0.25">
      <c r="AZ163" s="25">
        <v>160</v>
      </c>
      <c r="BA163" s="25">
        <v>0.20524334548751555</v>
      </c>
      <c r="BB163" s="25">
        <v>0</v>
      </c>
      <c r="BC163" s="25">
        <v>34</v>
      </c>
      <c r="BD163" s="25">
        <v>31.466666666666665</v>
      </c>
    </row>
    <row r="164" spans="52:56" x14ac:dyDescent="0.25">
      <c r="AZ164" s="25">
        <v>161</v>
      </c>
      <c r="BA164" s="25">
        <v>0.20524334548751555</v>
      </c>
      <c r="BB164" s="25">
        <v>0</v>
      </c>
      <c r="BC164" s="25">
        <v>34</v>
      </c>
      <c r="BD164" s="25">
        <v>31.66333333333333</v>
      </c>
    </row>
    <row r="165" spans="52:56" x14ac:dyDescent="0.25">
      <c r="AZ165" s="25">
        <v>162</v>
      </c>
      <c r="BA165" s="25">
        <v>0.20524334548751555</v>
      </c>
      <c r="BB165" s="25">
        <v>0</v>
      </c>
      <c r="BC165" s="25">
        <v>34</v>
      </c>
      <c r="BD165" s="25">
        <v>31.86</v>
      </c>
    </row>
    <row r="166" spans="52:56" x14ac:dyDescent="0.25">
      <c r="AZ166" s="25">
        <v>163</v>
      </c>
      <c r="BA166" s="25">
        <v>0.20524334548751555</v>
      </c>
      <c r="BB166" s="25">
        <v>0</v>
      </c>
      <c r="BC166" s="25">
        <v>34</v>
      </c>
      <c r="BD166" s="25">
        <v>32.056666666666665</v>
      </c>
    </row>
    <row r="167" spans="52:56" x14ac:dyDescent="0.25">
      <c r="AZ167" s="25">
        <v>164</v>
      </c>
      <c r="BA167" s="25">
        <v>0.20524334548751555</v>
      </c>
      <c r="BB167" s="25">
        <v>1</v>
      </c>
      <c r="BC167" s="25">
        <v>35</v>
      </c>
      <c r="BD167" s="25">
        <v>32.25333333333333</v>
      </c>
    </row>
    <row r="168" spans="52:56" x14ac:dyDescent="0.25">
      <c r="AZ168" s="25">
        <v>165</v>
      </c>
      <c r="BA168" s="25">
        <v>0.20524334548751555</v>
      </c>
      <c r="BB168" s="25">
        <v>0</v>
      </c>
      <c r="BC168" s="25">
        <v>35</v>
      </c>
      <c r="BD168" s="25">
        <v>32.449999999999996</v>
      </c>
    </row>
    <row r="169" spans="52:56" x14ac:dyDescent="0.25">
      <c r="AZ169" s="25">
        <v>166</v>
      </c>
      <c r="BA169" s="25">
        <v>0.20524334548751555</v>
      </c>
      <c r="BB169" s="25">
        <v>0</v>
      </c>
      <c r="BC169" s="25">
        <v>35</v>
      </c>
      <c r="BD169" s="25">
        <v>32.646666666666668</v>
      </c>
    </row>
    <row r="170" spans="52:56" x14ac:dyDescent="0.25">
      <c r="AZ170" s="25">
        <v>167</v>
      </c>
      <c r="BA170" s="25">
        <v>0.20524334548751555</v>
      </c>
      <c r="BB170" s="25">
        <v>0</v>
      </c>
      <c r="BC170" s="25">
        <v>35</v>
      </c>
      <c r="BD170" s="25">
        <v>32.843333333333334</v>
      </c>
    </row>
    <row r="171" spans="52:56" x14ac:dyDescent="0.25">
      <c r="AZ171" s="25">
        <v>168</v>
      </c>
      <c r="BA171" s="25">
        <v>0.20524334548751555</v>
      </c>
      <c r="BB171" s="25">
        <v>0</v>
      </c>
      <c r="BC171" s="25">
        <v>35</v>
      </c>
      <c r="BD171" s="25">
        <v>33.04</v>
      </c>
    </row>
    <row r="172" spans="52:56" x14ac:dyDescent="0.25">
      <c r="AZ172" s="25">
        <v>169</v>
      </c>
      <c r="BA172" s="25">
        <v>0.20524334548751555</v>
      </c>
      <c r="BB172" s="25">
        <v>0</v>
      </c>
      <c r="BC172" s="25">
        <v>35</v>
      </c>
      <c r="BD172" s="25">
        <v>33.236666666666665</v>
      </c>
    </row>
    <row r="173" spans="52:56" x14ac:dyDescent="0.25">
      <c r="AZ173" s="25">
        <v>170</v>
      </c>
      <c r="BA173" s="25">
        <v>0.20524334548751555</v>
      </c>
      <c r="BB173" s="25">
        <v>0</v>
      </c>
      <c r="BC173" s="25">
        <v>35</v>
      </c>
      <c r="BD173" s="25">
        <v>33.43333333333333</v>
      </c>
    </row>
    <row r="174" spans="52:56" x14ac:dyDescent="0.25">
      <c r="AZ174" s="25">
        <v>171</v>
      </c>
      <c r="BA174" s="25">
        <v>0.20524334548751555</v>
      </c>
      <c r="BB174" s="25">
        <v>0</v>
      </c>
      <c r="BC174" s="25">
        <v>35</v>
      </c>
      <c r="BD174" s="25">
        <v>33.629999999999995</v>
      </c>
    </row>
    <row r="175" spans="52:56" x14ac:dyDescent="0.25">
      <c r="AZ175" s="25">
        <v>172</v>
      </c>
      <c r="BA175" s="25">
        <v>0.20524334548751555</v>
      </c>
      <c r="BB175" s="25">
        <v>0</v>
      </c>
      <c r="BC175" s="25">
        <v>35</v>
      </c>
      <c r="BD175" s="25">
        <v>33.826666666666668</v>
      </c>
    </row>
    <row r="176" spans="52:56" x14ac:dyDescent="0.25">
      <c r="AZ176" s="25">
        <v>173</v>
      </c>
      <c r="BA176" s="25">
        <v>0.20524334548751555</v>
      </c>
      <c r="BB176" s="25">
        <v>0</v>
      </c>
      <c r="BC176" s="25">
        <v>35</v>
      </c>
      <c r="BD176" s="25">
        <v>34.023333333333333</v>
      </c>
    </row>
    <row r="177" spans="52:56" x14ac:dyDescent="0.25">
      <c r="AZ177" s="25">
        <v>174</v>
      </c>
      <c r="BA177" s="25">
        <v>0.20524334548751555</v>
      </c>
      <c r="BB177" s="25">
        <v>0</v>
      </c>
      <c r="BC177" s="25">
        <v>35</v>
      </c>
      <c r="BD177" s="25">
        <v>34.22</v>
      </c>
    </row>
    <row r="178" spans="52:56" x14ac:dyDescent="0.25">
      <c r="AZ178" s="25">
        <v>175</v>
      </c>
      <c r="BA178" s="25">
        <v>0.20524334548751555</v>
      </c>
      <c r="BB178" s="25">
        <v>0</v>
      </c>
      <c r="BC178" s="25">
        <v>35</v>
      </c>
      <c r="BD178" s="25">
        <v>34.416666666666664</v>
      </c>
    </row>
    <row r="179" spans="52:56" x14ac:dyDescent="0.25">
      <c r="AZ179" s="25">
        <v>176</v>
      </c>
      <c r="BA179" s="25">
        <v>0.20524334548751555</v>
      </c>
      <c r="BB179" s="25">
        <v>0</v>
      </c>
      <c r="BC179" s="25">
        <v>35</v>
      </c>
      <c r="BD179" s="25">
        <v>34.61333333333333</v>
      </c>
    </row>
    <row r="180" spans="52:56" x14ac:dyDescent="0.25">
      <c r="AZ180" s="25">
        <v>177</v>
      </c>
      <c r="BA180" s="25">
        <v>0.20524334548751555</v>
      </c>
      <c r="BB180" s="25">
        <v>0</v>
      </c>
      <c r="BC180" s="25">
        <v>35</v>
      </c>
      <c r="BD180" s="25">
        <v>34.809999999999995</v>
      </c>
    </row>
    <row r="181" spans="52:56" x14ac:dyDescent="0.25">
      <c r="AZ181" s="25">
        <v>178</v>
      </c>
      <c r="BA181" s="25">
        <v>0.20524334548751555</v>
      </c>
      <c r="BB181" s="25">
        <v>0</v>
      </c>
      <c r="BC181" s="25">
        <v>35</v>
      </c>
      <c r="BD181" s="25">
        <v>35.006666666666668</v>
      </c>
    </row>
    <row r="182" spans="52:56" x14ac:dyDescent="0.25">
      <c r="AZ182" s="25">
        <v>179</v>
      </c>
      <c r="BA182" s="25">
        <v>0.20524334548751555</v>
      </c>
      <c r="BB182" s="25">
        <v>0</v>
      </c>
      <c r="BC182" s="25">
        <v>35</v>
      </c>
      <c r="BD182" s="25">
        <v>35.203333333333333</v>
      </c>
    </row>
    <row r="183" spans="52:56" x14ac:dyDescent="0.25">
      <c r="AZ183" s="25">
        <v>180</v>
      </c>
      <c r="BA183" s="25">
        <v>0.20524334548751555</v>
      </c>
      <c r="BB183" s="25">
        <v>0</v>
      </c>
      <c r="BC183" s="25">
        <v>35</v>
      </c>
      <c r="BD183" s="25">
        <v>35.4</v>
      </c>
    </row>
    <row r="184" spans="52:56" x14ac:dyDescent="0.25">
      <c r="AZ184" s="24">
        <v>181</v>
      </c>
      <c r="BA184" s="24">
        <v>0.20524334548751555</v>
      </c>
      <c r="BB184" s="24">
        <v>1</v>
      </c>
      <c r="BC184" s="24">
        <v>36</v>
      </c>
      <c r="BD184" s="24">
        <v>35.596666666666664</v>
      </c>
    </row>
    <row r="185" spans="52:56" x14ac:dyDescent="0.25">
      <c r="AZ185" s="24">
        <v>182</v>
      </c>
      <c r="BA185" s="24">
        <v>0.20524334548751555</v>
      </c>
      <c r="BB185" s="24">
        <v>0</v>
      </c>
      <c r="BC185" s="24">
        <v>36</v>
      </c>
      <c r="BD185" s="24">
        <v>35.793333333333329</v>
      </c>
    </row>
    <row r="186" spans="52:56" x14ac:dyDescent="0.25">
      <c r="AZ186" s="24">
        <v>183</v>
      </c>
      <c r="BA186" s="24">
        <v>0.20524334548751555</v>
      </c>
      <c r="BB186" s="24">
        <v>0</v>
      </c>
      <c r="BC186" s="24">
        <v>36</v>
      </c>
      <c r="BD186" s="24">
        <v>35.989999999999995</v>
      </c>
    </row>
    <row r="187" spans="52:56" x14ac:dyDescent="0.25">
      <c r="AZ187" s="24">
        <v>184</v>
      </c>
      <c r="BA187" s="24">
        <v>0.20524334548751555</v>
      </c>
      <c r="BB187" s="24">
        <v>0</v>
      </c>
      <c r="BC187" s="24">
        <v>36</v>
      </c>
      <c r="BD187" s="24">
        <v>36.186666666666667</v>
      </c>
    </row>
    <row r="188" spans="52:56" x14ac:dyDescent="0.25">
      <c r="AZ188" s="24">
        <v>185</v>
      </c>
      <c r="BA188" s="24">
        <v>0.20524334548751555</v>
      </c>
      <c r="BB188" s="24">
        <v>0</v>
      </c>
      <c r="BC188" s="24">
        <v>36</v>
      </c>
      <c r="BD188" s="24">
        <v>36.383333333333333</v>
      </c>
    </row>
    <row r="189" spans="52:56" x14ac:dyDescent="0.25">
      <c r="AZ189" s="24">
        <v>186</v>
      </c>
      <c r="BA189" s="24">
        <v>0.20524334548751555</v>
      </c>
      <c r="BB189" s="24">
        <v>1</v>
      </c>
      <c r="BC189" s="24">
        <v>37</v>
      </c>
      <c r="BD189" s="24">
        <v>36.58</v>
      </c>
    </row>
    <row r="190" spans="52:56" x14ac:dyDescent="0.25">
      <c r="AZ190" s="24">
        <v>187</v>
      </c>
      <c r="BA190" s="24">
        <v>0.20524334548751555</v>
      </c>
      <c r="BB190" s="24">
        <v>1</v>
      </c>
      <c r="BC190" s="24">
        <v>38</v>
      </c>
      <c r="BD190" s="24">
        <v>36.776666666666664</v>
      </c>
    </row>
    <row r="191" spans="52:56" x14ac:dyDescent="0.25">
      <c r="AZ191" s="24">
        <v>188</v>
      </c>
      <c r="BA191" s="24">
        <v>0.20524334548751555</v>
      </c>
      <c r="BB191" s="24">
        <v>1</v>
      </c>
      <c r="BC191" s="24">
        <v>39</v>
      </c>
      <c r="BD191" s="24">
        <v>36.973333333333329</v>
      </c>
    </row>
    <row r="192" spans="52:56" x14ac:dyDescent="0.25">
      <c r="AZ192" s="24">
        <v>189</v>
      </c>
      <c r="BA192" s="24">
        <v>0.20524334548751555</v>
      </c>
      <c r="BB192" s="24">
        <v>0</v>
      </c>
      <c r="BC192" s="24">
        <v>39</v>
      </c>
      <c r="BD192" s="24">
        <v>37.169999999999995</v>
      </c>
    </row>
    <row r="193" spans="52:56" x14ac:dyDescent="0.25">
      <c r="AZ193" s="24">
        <v>190</v>
      </c>
      <c r="BA193" s="24">
        <v>0.20524334548751555</v>
      </c>
      <c r="BB193" s="24">
        <v>1</v>
      </c>
      <c r="BC193" s="24">
        <v>40</v>
      </c>
      <c r="BD193" s="24">
        <v>37.366666666666667</v>
      </c>
    </row>
    <row r="194" spans="52:56" x14ac:dyDescent="0.25">
      <c r="AZ194" s="24">
        <v>191</v>
      </c>
      <c r="BA194" s="24">
        <v>0.20524334548751555</v>
      </c>
      <c r="BB194" s="24">
        <v>0</v>
      </c>
      <c r="BC194" s="24">
        <v>40</v>
      </c>
      <c r="BD194" s="24">
        <v>37.563333333333333</v>
      </c>
    </row>
    <row r="195" spans="52:56" x14ac:dyDescent="0.25">
      <c r="AZ195" s="24">
        <v>192</v>
      </c>
      <c r="BA195" s="24">
        <v>0.20524334548751555</v>
      </c>
      <c r="BB195" s="24">
        <v>0</v>
      </c>
      <c r="BC195" s="24">
        <v>40</v>
      </c>
      <c r="BD195" s="24">
        <v>37.76</v>
      </c>
    </row>
    <row r="196" spans="52:56" x14ac:dyDescent="0.25">
      <c r="AZ196" s="24">
        <v>193</v>
      </c>
      <c r="BA196" s="24">
        <v>0.20524334548751555</v>
      </c>
      <c r="BB196" s="24">
        <v>0</v>
      </c>
      <c r="BC196" s="24">
        <v>40</v>
      </c>
      <c r="BD196" s="24">
        <v>37.956666666666663</v>
      </c>
    </row>
    <row r="197" spans="52:56" x14ac:dyDescent="0.25">
      <c r="AZ197" s="24">
        <v>194</v>
      </c>
      <c r="BA197" s="24">
        <v>0.20524334548751555</v>
      </c>
      <c r="BB197" s="24">
        <v>0</v>
      </c>
      <c r="BC197" s="24">
        <v>40</v>
      </c>
      <c r="BD197" s="24">
        <v>38.153333333333329</v>
      </c>
    </row>
    <row r="198" spans="52:56" x14ac:dyDescent="0.25">
      <c r="AZ198" s="24">
        <v>195</v>
      </c>
      <c r="BA198" s="24">
        <v>0.20524334548751555</v>
      </c>
      <c r="BB198" s="24">
        <v>1</v>
      </c>
      <c r="BC198" s="24">
        <v>41</v>
      </c>
      <c r="BD198" s="24">
        <v>38.35</v>
      </c>
    </row>
    <row r="199" spans="52:56" x14ac:dyDescent="0.25">
      <c r="AZ199" s="24">
        <v>196</v>
      </c>
      <c r="BA199" s="24">
        <v>0.20524334548751555</v>
      </c>
      <c r="BB199" s="24">
        <v>0</v>
      </c>
      <c r="BC199" s="24">
        <v>41</v>
      </c>
      <c r="BD199" s="24">
        <v>38.546666666666667</v>
      </c>
    </row>
    <row r="200" spans="52:56" x14ac:dyDescent="0.25">
      <c r="AZ200" s="24">
        <v>197</v>
      </c>
      <c r="BA200" s="24">
        <v>0.20524334548751555</v>
      </c>
      <c r="BB200" s="24">
        <v>1</v>
      </c>
      <c r="BC200" s="24">
        <v>42</v>
      </c>
      <c r="BD200" s="24">
        <v>38.743333333333332</v>
      </c>
    </row>
    <row r="201" spans="52:56" x14ac:dyDescent="0.25">
      <c r="AZ201" s="24">
        <v>198</v>
      </c>
      <c r="BA201" s="24">
        <v>0.20524334548751555</v>
      </c>
      <c r="BB201" s="24">
        <v>0</v>
      </c>
      <c r="BC201" s="24">
        <v>42</v>
      </c>
      <c r="BD201" s="24">
        <v>38.94</v>
      </c>
    </row>
    <row r="202" spans="52:56" x14ac:dyDescent="0.25">
      <c r="AZ202" s="24">
        <v>199</v>
      </c>
      <c r="BA202" s="24">
        <v>0.20524334548751555</v>
      </c>
      <c r="BB202" s="24">
        <v>0</v>
      </c>
      <c r="BC202" s="24">
        <v>42</v>
      </c>
      <c r="BD202" s="24">
        <v>39.136666666666663</v>
      </c>
    </row>
    <row r="203" spans="52:56" x14ac:dyDescent="0.25">
      <c r="AZ203" s="24">
        <v>200</v>
      </c>
      <c r="BA203" s="24">
        <v>0.20524334548751555</v>
      </c>
      <c r="BB203" s="24">
        <v>1</v>
      </c>
      <c r="BC203" s="24">
        <v>43</v>
      </c>
      <c r="BD203" s="24">
        <v>39.333333333333329</v>
      </c>
    </row>
    <row r="204" spans="52:56" x14ac:dyDescent="0.25">
      <c r="AZ204" s="24">
        <v>201</v>
      </c>
      <c r="BA204" s="24">
        <v>0.20524334548751555</v>
      </c>
      <c r="BB204" s="24">
        <v>0</v>
      </c>
      <c r="BC204" s="24">
        <v>43</v>
      </c>
      <c r="BD204" s="24">
        <v>39.53</v>
      </c>
    </row>
    <row r="205" spans="52:56" x14ac:dyDescent="0.25">
      <c r="AZ205" s="24">
        <v>202</v>
      </c>
      <c r="BA205" s="24">
        <v>0.20524334548751555</v>
      </c>
      <c r="BB205" s="24">
        <v>0</v>
      </c>
      <c r="BC205" s="24">
        <v>43</v>
      </c>
      <c r="BD205" s="24">
        <v>39.726666666666667</v>
      </c>
    </row>
    <row r="206" spans="52:56" x14ac:dyDescent="0.25">
      <c r="AZ206" s="24">
        <v>203</v>
      </c>
      <c r="BA206" s="24">
        <v>0.20524334548751555</v>
      </c>
      <c r="BB206" s="24">
        <v>0</v>
      </c>
      <c r="BC206" s="24">
        <v>43</v>
      </c>
      <c r="BD206" s="24">
        <v>39.923333333333332</v>
      </c>
    </row>
    <row r="207" spans="52:56" x14ac:dyDescent="0.25">
      <c r="AZ207" s="24">
        <v>204</v>
      </c>
      <c r="BA207" s="24">
        <v>0.20524334548751555</v>
      </c>
      <c r="BB207" s="24">
        <v>0</v>
      </c>
      <c r="BC207" s="24">
        <v>43</v>
      </c>
      <c r="BD207" s="24">
        <v>40.119999999999997</v>
      </c>
    </row>
    <row r="208" spans="52:56" x14ac:dyDescent="0.25">
      <c r="AZ208" s="24">
        <v>205</v>
      </c>
      <c r="BA208" s="24">
        <v>0.20524334548751555</v>
      </c>
      <c r="BB208" s="24">
        <v>0</v>
      </c>
      <c r="BC208" s="24">
        <v>43</v>
      </c>
      <c r="BD208" s="24">
        <v>40.316666666666663</v>
      </c>
    </row>
    <row r="209" spans="52:56" x14ac:dyDescent="0.25">
      <c r="AZ209" s="24">
        <v>206</v>
      </c>
      <c r="BA209" s="24">
        <v>0.20524334548751555</v>
      </c>
      <c r="BB209" s="24">
        <v>1</v>
      </c>
      <c r="BC209" s="24">
        <v>44</v>
      </c>
      <c r="BD209" s="24">
        <v>40.513333333333328</v>
      </c>
    </row>
    <row r="210" spans="52:56" x14ac:dyDescent="0.25">
      <c r="AZ210" s="24">
        <v>207</v>
      </c>
      <c r="BA210" s="24">
        <v>0.20524334548751555</v>
      </c>
      <c r="BB210" s="24">
        <v>0</v>
      </c>
      <c r="BC210" s="24">
        <v>44</v>
      </c>
      <c r="BD210" s="24">
        <v>40.71</v>
      </c>
    </row>
    <row r="211" spans="52:56" x14ac:dyDescent="0.25">
      <c r="AZ211" s="24">
        <v>208</v>
      </c>
      <c r="BA211" s="24">
        <v>0.20524334548751555</v>
      </c>
      <c r="BB211" s="24">
        <v>0</v>
      </c>
      <c r="BC211" s="24">
        <v>44</v>
      </c>
      <c r="BD211" s="24">
        <v>40.906666666666666</v>
      </c>
    </row>
    <row r="212" spans="52:56" x14ac:dyDescent="0.25">
      <c r="AZ212" s="24">
        <v>209</v>
      </c>
      <c r="BA212" s="24">
        <v>0.20524334548751555</v>
      </c>
      <c r="BB212" s="24">
        <v>0</v>
      </c>
      <c r="BC212" s="24">
        <v>44</v>
      </c>
      <c r="BD212" s="24">
        <v>41.103333333333332</v>
      </c>
    </row>
    <row r="213" spans="52:56" x14ac:dyDescent="0.25">
      <c r="AZ213" s="24">
        <v>210</v>
      </c>
      <c r="BA213" s="24">
        <v>0.20524334548751555</v>
      </c>
      <c r="BB213" s="24">
        <v>0</v>
      </c>
      <c r="BC213" s="24">
        <v>44</v>
      </c>
      <c r="BD213" s="24">
        <v>41.3</v>
      </c>
    </row>
    <row r="214" spans="52:56" x14ac:dyDescent="0.25">
      <c r="AZ214" s="25">
        <v>211</v>
      </c>
      <c r="BA214" s="25">
        <v>0.20524334548751555</v>
      </c>
      <c r="BB214" s="25">
        <v>0</v>
      </c>
      <c r="BC214" s="25">
        <v>44</v>
      </c>
      <c r="BD214" s="25">
        <v>41.496666666666663</v>
      </c>
    </row>
    <row r="215" spans="52:56" x14ac:dyDescent="0.25">
      <c r="AZ215" s="25">
        <v>212</v>
      </c>
      <c r="BA215" s="25">
        <v>0.20524334548751555</v>
      </c>
      <c r="BB215" s="25">
        <v>0</v>
      </c>
      <c r="BC215" s="25">
        <v>44</v>
      </c>
      <c r="BD215" s="25">
        <v>41.693333333333328</v>
      </c>
    </row>
    <row r="216" spans="52:56" x14ac:dyDescent="0.25">
      <c r="AZ216" s="25">
        <v>213</v>
      </c>
      <c r="BA216" s="25">
        <v>0.20524334548751555</v>
      </c>
      <c r="BB216" s="25">
        <v>0</v>
      </c>
      <c r="BC216" s="25">
        <v>44</v>
      </c>
      <c r="BD216" s="25">
        <v>41.89</v>
      </c>
    </row>
    <row r="217" spans="52:56" x14ac:dyDescent="0.25">
      <c r="AZ217" s="25">
        <v>214</v>
      </c>
      <c r="BA217" s="25">
        <v>0.20524334548751555</v>
      </c>
      <c r="BB217" s="25">
        <v>0</v>
      </c>
      <c r="BC217" s="25">
        <v>44</v>
      </c>
      <c r="BD217" s="25">
        <v>42.086666666666666</v>
      </c>
    </row>
    <row r="218" spans="52:56" x14ac:dyDescent="0.25">
      <c r="AZ218" s="25">
        <v>215</v>
      </c>
      <c r="BA218" s="25">
        <v>0.20524334548751555</v>
      </c>
      <c r="BB218" s="25">
        <v>0</v>
      </c>
      <c r="BC218" s="25">
        <v>44</v>
      </c>
      <c r="BD218" s="25">
        <v>42.283333333333331</v>
      </c>
    </row>
    <row r="219" spans="52:56" x14ac:dyDescent="0.25">
      <c r="AZ219" s="25">
        <v>216</v>
      </c>
      <c r="BA219" s="25">
        <v>0.20524334548751555</v>
      </c>
      <c r="BB219" s="25">
        <v>0</v>
      </c>
      <c r="BC219" s="25">
        <v>44</v>
      </c>
      <c r="BD219" s="25">
        <v>42.48</v>
      </c>
    </row>
    <row r="220" spans="52:56" x14ac:dyDescent="0.25">
      <c r="AZ220" s="25">
        <v>217</v>
      </c>
      <c r="BA220" s="25">
        <v>0.20524334548751555</v>
      </c>
      <c r="BB220" s="25">
        <v>0</v>
      </c>
      <c r="BC220" s="25">
        <v>44</v>
      </c>
      <c r="BD220" s="25">
        <v>42.676666666666662</v>
      </c>
    </row>
    <row r="221" spans="52:56" x14ac:dyDescent="0.25">
      <c r="AZ221" s="25">
        <v>218</v>
      </c>
      <c r="BA221" s="25">
        <v>0.20524334548751555</v>
      </c>
      <c r="BB221" s="25">
        <v>1</v>
      </c>
      <c r="BC221" s="25">
        <v>45</v>
      </c>
      <c r="BD221" s="25">
        <v>42.873333333333328</v>
      </c>
    </row>
    <row r="222" spans="52:56" x14ac:dyDescent="0.25">
      <c r="AZ222" s="25">
        <v>219</v>
      </c>
      <c r="BA222" s="25">
        <v>0.20524334548751555</v>
      </c>
      <c r="BB222" s="25">
        <v>0</v>
      </c>
      <c r="BC222" s="25">
        <v>45</v>
      </c>
      <c r="BD222" s="25">
        <v>43.07</v>
      </c>
    </row>
    <row r="223" spans="52:56" x14ac:dyDescent="0.25">
      <c r="AZ223" s="25">
        <v>220</v>
      </c>
      <c r="BA223" s="25">
        <v>0.20524334548751555</v>
      </c>
      <c r="BB223" s="25">
        <v>0</v>
      </c>
      <c r="BC223" s="25">
        <v>45</v>
      </c>
      <c r="BD223" s="25">
        <v>43.266666666666666</v>
      </c>
    </row>
    <row r="224" spans="52:56" x14ac:dyDescent="0.25">
      <c r="AZ224" s="25">
        <v>221</v>
      </c>
      <c r="BA224" s="25">
        <v>0.20524334548751555</v>
      </c>
      <c r="BB224" s="25">
        <v>0</v>
      </c>
      <c r="BC224" s="25">
        <v>45</v>
      </c>
      <c r="BD224" s="25">
        <v>43.463333333333331</v>
      </c>
    </row>
    <row r="225" spans="52:56" x14ac:dyDescent="0.25">
      <c r="AZ225" s="25">
        <v>222</v>
      </c>
      <c r="BA225" s="25">
        <v>0.20524334548751555</v>
      </c>
      <c r="BB225" s="25">
        <v>0</v>
      </c>
      <c r="BC225" s="25">
        <v>45</v>
      </c>
      <c r="BD225" s="25">
        <v>43.66</v>
      </c>
    </row>
    <row r="226" spans="52:56" x14ac:dyDescent="0.25">
      <c r="AZ226" s="25">
        <v>223</v>
      </c>
      <c r="BA226" s="25">
        <v>0.20524334548751555</v>
      </c>
      <c r="BB226" s="25">
        <v>0</v>
      </c>
      <c r="BC226" s="25">
        <v>45</v>
      </c>
      <c r="BD226" s="25">
        <v>43.856666666666662</v>
      </c>
    </row>
    <row r="227" spans="52:56" x14ac:dyDescent="0.25">
      <c r="AZ227" s="25">
        <v>224</v>
      </c>
      <c r="BA227" s="25">
        <v>0.20524334548751555</v>
      </c>
      <c r="BB227" s="25">
        <v>0</v>
      </c>
      <c r="BC227" s="25">
        <v>45</v>
      </c>
      <c r="BD227" s="25">
        <v>44.053333333333327</v>
      </c>
    </row>
    <row r="228" spans="52:56" x14ac:dyDescent="0.25">
      <c r="AZ228" s="25">
        <v>225</v>
      </c>
      <c r="BA228" s="25">
        <v>0.20524334548751555</v>
      </c>
      <c r="BB228" s="25">
        <v>0</v>
      </c>
      <c r="BC228" s="25">
        <v>45</v>
      </c>
      <c r="BD228" s="25">
        <v>44.25</v>
      </c>
    </row>
    <row r="229" spans="52:56" x14ac:dyDescent="0.25">
      <c r="AZ229" s="25">
        <v>226</v>
      </c>
      <c r="BA229" s="25">
        <v>0.20524334548751555</v>
      </c>
      <c r="BB229" s="25">
        <v>1</v>
      </c>
      <c r="BC229" s="25">
        <v>46</v>
      </c>
      <c r="BD229" s="25">
        <v>44.446666666666665</v>
      </c>
    </row>
    <row r="230" spans="52:56" x14ac:dyDescent="0.25">
      <c r="AZ230" s="25">
        <v>227</v>
      </c>
      <c r="BA230" s="25">
        <v>0.20524334548751555</v>
      </c>
      <c r="BB230" s="25">
        <v>1</v>
      </c>
      <c r="BC230" s="25">
        <v>47</v>
      </c>
      <c r="BD230" s="25">
        <v>44.643333333333331</v>
      </c>
    </row>
    <row r="231" spans="52:56" x14ac:dyDescent="0.25">
      <c r="AZ231" s="25">
        <v>228</v>
      </c>
      <c r="BA231" s="25">
        <v>0.20524334548751555</v>
      </c>
      <c r="BB231" s="25">
        <v>0</v>
      </c>
      <c r="BC231" s="25">
        <v>47</v>
      </c>
      <c r="BD231" s="25">
        <v>44.839999999999996</v>
      </c>
    </row>
    <row r="232" spans="52:56" x14ac:dyDescent="0.25">
      <c r="AZ232" s="25">
        <v>229</v>
      </c>
      <c r="BA232" s="25">
        <v>0.20524334548751555</v>
      </c>
      <c r="BB232" s="25">
        <v>0</v>
      </c>
      <c r="BC232" s="25">
        <v>47</v>
      </c>
      <c r="BD232" s="25">
        <v>45.036666666666662</v>
      </c>
    </row>
    <row r="233" spans="52:56" x14ac:dyDescent="0.25">
      <c r="AZ233" s="25">
        <v>230</v>
      </c>
      <c r="BA233" s="25">
        <v>0.16903397659089944</v>
      </c>
      <c r="BB233" s="25">
        <v>1</v>
      </c>
      <c r="BC233" s="25">
        <v>48</v>
      </c>
      <c r="BD233" s="25">
        <v>45.233333333333334</v>
      </c>
    </row>
    <row r="234" spans="52:56" x14ac:dyDescent="0.25">
      <c r="AZ234" s="25">
        <v>231</v>
      </c>
      <c r="BA234" s="25">
        <v>0.16903397659089944</v>
      </c>
      <c r="BB234" s="25">
        <v>0</v>
      </c>
      <c r="BC234" s="25">
        <v>48</v>
      </c>
      <c r="BD234" s="25">
        <v>45.43</v>
      </c>
    </row>
    <row r="235" spans="52:56" x14ac:dyDescent="0.25">
      <c r="AZ235" s="25">
        <v>232</v>
      </c>
      <c r="BA235" s="25">
        <v>0.16903397659089944</v>
      </c>
      <c r="BB235" s="25">
        <v>0</v>
      </c>
      <c r="BC235" s="25">
        <v>48</v>
      </c>
      <c r="BD235" s="25">
        <v>45.626666666666665</v>
      </c>
    </row>
    <row r="236" spans="52:56" x14ac:dyDescent="0.25">
      <c r="AZ236" s="25">
        <v>233</v>
      </c>
      <c r="BA236" s="25">
        <v>0.16903397659089944</v>
      </c>
      <c r="BB236" s="25">
        <v>1</v>
      </c>
      <c r="BC236" s="25">
        <v>49</v>
      </c>
      <c r="BD236" s="25">
        <v>45.823333333333331</v>
      </c>
    </row>
    <row r="237" spans="52:56" x14ac:dyDescent="0.25">
      <c r="AZ237" s="25">
        <v>234</v>
      </c>
      <c r="BA237" s="25">
        <v>0.16903397659089944</v>
      </c>
      <c r="BB237" s="25">
        <v>0</v>
      </c>
      <c r="BC237" s="25">
        <v>49</v>
      </c>
      <c r="BD237" s="25">
        <v>46.019999999999996</v>
      </c>
    </row>
    <row r="238" spans="52:56" x14ac:dyDescent="0.25">
      <c r="AZ238" s="25">
        <v>235</v>
      </c>
      <c r="BA238" s="25">
        <v>0.16903397659089944</v>
      </c>
      <c r="BB238" s="25">
        <v>1</v>
      </c>
      <c r="BC238" s="25">
        <v>50</v>
      </c>
      <c r="BD238" s="25">
        <v>46.216666666666661</v>
      </c>
    </row>
    <row r="239" spans="52:56" x14ac:dyDescent="0.25">
      <c r="AZ239" s="25">
        <v>236</v>
      </c>
      <c r="BA239" s="25">
        <v>0.16903397659089944</v>
      </c>
      <c r="BB239" s="25">
        <v>0</v>
      </c>
      <c r="BC239" s="25">
        <v>50</v>
      </c>
      <c r="BD239" s="25">
        <v>46.413333333333334</v>
      </c>
    </row>
    <row r="240" spans="52:56" x14ac:dyDescent="0.25">
      <c r="AZ240" s="25">
        <v>237</v>
      </c>
      <c r="BA240" s="25">
        <v>0.16903397659089944</v>
      </c>
      <c r="BB240" s="25">
        <v>0</v>
      </c>
      <c r="BC240" s="25">
        <v>50</v>
      </c>
      <c r="BD240" s="25">
        <v>46.61</v>
      </c>
    </row>
    <row r="241" spans="52:56" x14ac:dyDescent="0.25">
      <c r="AZ241" s="25">
        <v>238</v>
      </c>
      <c r="BA241" s="25">
        <v>0.16903397659089944</v>
      </c>
      <c r="BB241" s="25">
        <v>1</v>
      </c>
      <c r="BC241" s="25">
        <v>51</v>
      </c>
      <c r="BD241" s="25">
        <v>46.806666666666665</v>
      </c>
    </row>
    <row r="242" spans="52:56" x14ac:dyDescent="0.25">
      <c r="AZ242" s="25">
        <v>239</v>
      </c>
      <c r="BA242" s="25">
        <v>0.16903397659089944</v>
      </c>
      <c r="BB242" s="25">
        <v>0</v>
      </c>
      <c r="BC242" s="25">
        <v>51</v>
      </c>
      <c r="BD242" s="25">
        <v>47.00333333333333</v>
      </c>
    </row>
    <row r="243" spans="52:56" x14ac:dyDescent="0.25">
      <c r="AZ243" s="25">
        <v>240</v>
      </c>
      <c r="BA243" s="25">
        <v>0.16903397659089944</v>
      </c>
      <c r="BB243" s="25">
        <v>0</v>
      </c>
      <c r="BC243" s="25">
        <v>51</v>
      </c>
      <c r="BD243" s="25">
        <v>47.199999999999996</v>
      </c>
    </row>
    <row r="244" spans="52:56" x14ac:dyDescent="0.25">
      <c r="AZ244" s="24">
        <v>241</v>
      </c>
      <c r="BA244" s="24">
        <v>0.16903397659089944</v>
      </c>
      <c r="BB244" s="24">
        <v>0</v>
      </c>
      <c r="BC244" s="24">
        <v>51</v>
      </c>
      <c r="BD244" s="24">
        <v>47.396666666666661</v>
      </c>
    </row>
    <row r="245" spans="52:56" x14ac:dyDescent="0.25">
      <c r="AZ245" s="24">
        <v>242</v>
      </c>
      <c r="BA245" s="24">
        <v>0.16903397659089944</v>
      </c>
      <c r="BB245" s="24">
        <v>0</v>
      </c>
      <c r="BC245" s="24">
        <v>51</v>
      </c>
      <c r="BD245" s="24">
        <v>47.593333333333334</v>
      </c>
    </row>
    <row r="246" spans="52:56" x14ac:dyDescent="0.25">
      <c r="AZ246" s="24">
        <v>243</v>
      </c>
      <c r="BA246" s="24">
        <v>0.16903397659089944</v>
      </c>
      <c r="BB246" s="24">
        <v>0</v>
      </c>
      <c r="BC246" s="24">
        <v>51</v>
      </c>
      <c r="BD246" s="24">
        <v>47.79</v>
      </c>
    </row>
    <row r="247" spans="52:56" x14ac:dyDescent="0.25">
      <c r="AZ247" s="24">
        <v>244</v>
      </c>
      <c r="BA247" s="24">
        <v>0.16903397659089944</v>
      </c>
      <c r="BB247" s="24">
        <v>0</v>
      </c>
      <c r="BC247" s="24">
        <v>51</v>
      </c>
      <c r="BD247" s="24">
        <v>47.986666666666665</v>
      </c>
    </row>
    <row r="248" spans="52:56" x14ac:dyDescent="0.25">
      <c r="AZ248" s="24">
        <v>245</v>
      </c>
      <c r="BA248" s="24">
        <v>0.16903397659089944</v>
      </c>
      <c r="BB248" s="24">
        <v>0</v>
      </c>
      <c r="BC248" s="24">
        <v>51</v>
      </c>
      <c r="BD248" s="24">
        <v>48.18333333333333</v>
      </c>
    </row>
    <row r="249" spans="52:56" x14ac:dyDescent="0.25">
      <c r="AZ249" s="24">
        <v>246</v>
      </c>
      <c r="BA249" s="24">
        <v>0.16903397659089944</v>
      </c>
      <c r="BB249" s="24">
        <v>0</v>
      </c>
      <c r="BC249" s="24">
        <v>51</v>
      </c>
      <c r="BD249" s="24">
        <v>48.379999999999995</v>
      </c>
    </row>
    <row r="250" spans="52:56" x14ac:dyDescent="0.25">
      <c r="AZ250" s="24">
        <v>247</v>
      </c>
      <c r="BA250" s="24">
        <v>0.16903397659089944</v>
      </c>
      <c r="BB250" s="24">
        <v>1</v>
      </c>
      <c r="BC250" s="24">
        <v>52</v>
      </c>
      <c r="BD250" s="24">
        <v>48.576666666666661</v>
      </c>
    </row>
    <row r="251" spans="52:56" x14ac:dyDescent="0.25">
      <c r="AZ251" s="24">
        <v>248</v>
      </c>
      <c r="BA251" s="24">
        <v>0.16903397659089944</v>
      </c>
      <c r="BB251" s="24">
        <v>1</v>
      </c>
      <c r="BC251" s="24">
        <v>53</v>
      </c>
      <c r="BD251" s="24">
        <v>48.773333333333333</v>
      </c>
    </row>
    <row r="252" spans="52:56" x14ac:dyDescent="0.25">
      <c r="AZ252" s="24">
        <v>249</v>
      </c>
      <c r="BA252" s="24">
        <v>0.16903397659089944</v>
      </c>
      <c r="BB252" s="24">
        <v>0</v>
      </c>
      <c r="BC252" s="24">
        <v>53</v>
      </c>
      <c r="BD252" s="24">
        <v>48.97</v>
      </c>
    </row>
    <row r="253" spans="52:56" x14ac:dyDescent="0.25">
      <c r="AZ253" s="24">
        <v>250</v>
      </c>
      <c r="BA253" s="24">
        <v>0.16903397659089944</v>
      </c>
      <c r="BB253" s="24">
        <v>0</v>
      </c>
      <c r="BC253" s="24">
        <v>53</v>
      </c>
      <c r="BD253" s="24">
        <v>49.166666666666664</v>
      </c>
    </row>
    <row r="254" spans="52:56" x14ac:dyDescent="0.25">
      <c r="AZ254" s="24">
        <v>251</v>
      </c>
      <c r="BA254" s="24">
        <v>0.16903397659089944</v>
      </c>
      <c r="BB254" s="24">
        <v>0</v>
      </c>
      <c r="BC254" s="24">
        <v>53</v>
      </c>
      <c r="BD254" s="24">
        <v>49.36333333333333</v>
      </c>
    </row>
    <row r="255" spans="52:56" x14ac:dyDescent="0.25">
      <c r="AZ255" s="24">
        <v>252</v>
      </c>
      <c r="BA255" s="24">
        <v>0.16903397659089944</v>
      </c>
      <c r="BB255" s="24">
        <v>0</v>
      </c>
      <c r="BC255" s="24">
        <v>53</v>
      </c>
      <c r="BD255" s="24">
        <v>49.559999999999995</v>
      </c>
    </row>
    <row r="256" spans="52:56" x14ac:dyDescent="0.25">
      <c r="AZ256" s="24">
        <v>253</v>
      </c>
      <c r="BA256" s="24">
        <v>0.16903397659089944</v>
      </c>
      <c r="BB256" s="24">
        <v>0</v>
      </c>
      <c r="BC256" s="24">
        <v>53</v>
      </c>
      <c r="BD256" s="24">
        <v>49.756666666666661</v>
      </c>
    </row>
    <row r="257" spans="52:56" x14ac:dyDescent="0.25">
      <c r="AZ257" s="24">
        <v>254</v>
      </c>
      <c r="BA257" s="24">
        <v>0.16903397659089944</v>
      </c>
      <c r="BB257" s="24">
        <v>0</v>
      </c>
      <c r="BC257" s="24">
        <v>53</v>
      </c>
      <c r="BD257" s="24">
        <v>49.953333333333333</v>
      </c>
    </row>
    <row r="258" spans="52:56" x14ac:dyDescent="0.25">
      <c r="AZ258" s="24">
        <v>255</v>
      </c>
      <c r="BA258" s="24">
        <v>0.16903397659089944</v>
      </c>
      <c r="BB258" s="24">
        <v>0</v>
      </c>
      <c r="BC258" s="24">
        <v>53</v>
      </c>
      <c r="BD258" s="24">
        <v>50.15</v>
      </c>
    </row>
    <row r="259" spans="52:56" x14ac:dyDescent="0.25">
      <c r="AZ259" s="24">
        <v>256</v>
      </c>
      <c r="BA259" s="24">
        <v>0.16903397659089944</v>
      </c>
      <c r="BB259" s="24">
        <v>0</v>
      </c>
      <c r="BC259" s="24">
        <v>53</v>
      </c>
      <c r="BD259" s="24">
        <v>50.346666666666664</v>
      </c>
    </row>
    <row r="260" spans="52:56" x14ac:dyDescent="0.25">
      <c r="AZ260" s="24">
        <v>257</v>
      </c>
      <c r="BA260" s="24">
        <v>0.16903397659089944</v>
      </c>
      <c r="BB260" s="24">
        <v>1</v>
      </c>
      <c r="BC260" s="24">
        <v>54</v>
      </c>
      <c r="BD260" s="24">
        <v>50.543333333333329</v>
      </c>
    </row>
    <row r="261" spans="52:56" x14ac:dyDescent="0.25">
      <c r="AZ261" s="24">
        <v>258</v>
      </c>
      <c r="BA261" s="24">
        <v>0.16903397659089944</v>
      </c>
      <c r="BB261" s="24">
        <v>0</v>
      </c>
      <c r="BC261" s="24">
        <v>54</v>
      </c>
      <c r="BD261" s="24">
        <v>50.739999999999995</v>
      </c>
    </row>
    <row r="262" spans="52:56" x14ac:dyDescent="0.25">
      <c r="AZ262" s="24">
        <v>259</v>
      </c>
      <c r="BA262" s="24">
        <v>0.16903397659089944</v>
      </c>
      <c r="BB262" s="24">
        <v>0</v>
      </c>
      <c r="BC262" s="24">
        <v>54</v>
      </c>
      <c r="BD262" s="24">
        <v>50.936666666666667</v>
      </c>
    </row>
    <row r="263" spans="52:56" x14ac:dyDescent="0.25">
      <c r="AZ263" s="24">
        <v>260</v>
      </c>
      <c r="BA263" s="24">
        <v>0.16903397659089944</v>
      </c>
      <c r="BB263" s="24">
        <v>1</v>
      </c>
      <c r="BC263" s="24">
        <v>55</v>
      </c>
      <c r="BD263" s="24">
        <v>51.133333333333333</v>
      </c>
    </row>
    <row r="264" spans="52:56" x14ac:dyDescent="0.25">
      <c r="AZ264" s="24">
        <v>261</v>
      </c>
      <c r="BA264" s="24">
        <v>0.16903397659089944</v>
      </c>
      <c r="BB264" s="24">
        <v>0</v>
      </c>
      <c r="BC264" s="24">
        <v>55</v>
      </c>
      <c r="BD264" s="24">
        <v>51.33</v>
      </c>
    </row>
    <row r="265" spans="52:56" x14ac:dyDescent="0.25">
      <c r="AZ265" s="24">
        <v>262</v>
      </c>
      <c r="BA265" s="24">
        <v>0.16903397659089944</v>
      </c>
      <c r="BB265" s="24">
        <v>0</v>
      </c>
      <c r="BC265" s="24">
        <v>55</v>
      </c>
      <c r="BD265" s="24">
        <v>51.526666666666664</v>
      </c>
    </row>
    <row r="266" spans="52:56" x14ac:dyDescent="0.25">
      <c r="AZ266" s="24">
        <v>263</v>
      </c>
      <c r="BA266" s="24">
        <v>0.16903397659089944</v>
      </c>
      <c r="BB266" s="24">
        <v>0</v>
      </c>
      <c r="BC266" s="24">
        <v>55</v>
      </c>
      <c r="BD266" s="24">
        <v>51.723333333333329</v>
      </c>
    </row>
    <row r="267" spans="52:56" x14ac:dyDescent="0.25">
      <c r="AZ267" s="24">
        <v>264</v>
      </c>
      <c r="BA267" s="24">
        <v>0.16903397659089944</v>
      </c>
      <c r="BB267" s="24">
        <v>0</v>
      </c>
      <c r="BC267" s="24">
        <v>55</v>
      </c>
      <c r="BD267" s="24">
        <v>51.919999999999995</v>
      </c>
    </row>
    <row r="268" spans="52:56" x14ac:dyDescent="0.25">
      <c r="AZ268" s="24">
        <v>265</v>
      </c>
      <c r="BA268" s="24">
        <v>0.16903397659089944</v>
      </c>
      <c r="BB268" s="24">
        <v>0</v>
      </c>
      <c r="BC268" s="24">
        <v>55</v>
      </c>
      <c r="BD268" s="24">
        <v>52.116666666666667</v>
      </c>
    </row>
    <row r="269" spans="52:56" x14ac:dyDescent="0.25">
      <c r="AZ269" s="24">
        <v>266</v>
      </c>
      <c r="BA269" s="24">
        <v>0.16903397659089944</v>
      </c>
      <c r="BB269" s="24">
        <v>0</v>
      </c>
      <c r="BC269" s="24">
        <v>55</v>
      </c>
      <c r="BD269" s="24">
        <v>52.313333333333333</v>
      </c>
    </row>
    <row r="270" spans="52:56" x14ac:dyDescent="0.25">
      <c r="AZ270" s="24">
        <v>267</v>
      </c>
      <c r="BA270" s="24">
        <v>0.16903397659089944</v>
      </c>
      <c r="BB270" s="24">
        <v>0</v>
      </c>
      <c r="BC270" s="24">
        <v>55</v>
      </c>
      <c r="BD270" s="24">
        <v>52.51</v>
      </c>
    </row>
    <row r="271" spans="52:56" x14ac:dyDescent="0.25">
      <c r="AZ271" s="24">
        <v>268</v>
      </c>
      <c r="BA271" s="24">
        <v>0.16903397659089944</v>
      </c>
      <c r="BB271" s="24">
        <v>0</v>
      </c>
      <c r="BC271" s="24">
        <v>55</v>
      </c>
      <c r="BD271" s="24">
        <v>52.706666666666663</v>
      </c>
    </row>
    <row r="272" spans="52:56" x14ac:dyDescent="0.25">
      <c r="AZ272" s="24">
        <v>269</v>
      </c>
      <c r="BA272" s="24">
        <v>0.16903397659089944</v>
      </c>
      <c r="BB272" s="24">
        <v>1</v>
      </c>
      <c r="BC272" s="24">
        <v>56</v>
      </c>
      <c r="BD272" s="24">
        <v>52.903333333333329</v>
      </c>
    </row>
    <row r="273" spans="52:56" x14ac:dyDescent="0.25">
      <c r="AZ273" s="24">
        <v>270</v>
      </c>
      <c r="BA273" s="24">
        <v>0.16903397659089944</v>
      </c>
      <c r="BB273" s="24">
        <v>0</v>
      </c>
      <c r="BC273" s="24">
        <v>56</v>
      </c>
      <c r="BD273" s="24">
        <v>53.099999999999994</v>
      </c>
    </row>
    <row r="274" spans="52:56" x14ac:dyDescent="0.25">
      <c r="AZ274" s="25">
        <v>271</v>
      </c>
      <c r="BA274" s="25">
        <v>0.16903397659089944</v>
      </c>
      <c r="BB274" s="25">
        <v>0</v>
      </c>
      <c r="BC274" s="25">
        <v>56</v>
      </c>
      <c r="BD274" s="25">
        <v>53.296666666666667</v>
      </c>
    </row>
    <row r="275" spans="52:56" x14ac:dyDescent="0.25">
      <c r="AZ275" s="25">
        <v>272</v>
      </c>
      <c r="BA275" s="25">
        <v>0.16903397659089944</v>
      </c>
      <c r="BB275" s="25">
        <v>0</v>
      </c>
      <c r="BC275" s="25">
        <v>56</v>
      </c>
      <c r="BD275" s="25">
        <v>53.493333333333332</v>
      </c>
    </row>
    <row r="276" spans="52:56" x14ac:dyDescent="0.25">
      <c r="AZ276" s="25">
        <v>273</v>
      </c>
      <c r="BA276" s="25">
        <v>0.16903397659089944</v>
      </c>
      <c r="BB276" s="25">
        <v>1</v>
      </c>
      <c r="BC276" s="25">
        <v>57</v>
      </c>
      <c r="BD276" s="25">
        <v>53.69</v>
      </c>
    </row>
    <row r="277" spans="52:56" x14ac:dyDescent="0.25">
      <c r="AZ277" s="25">
        <v>274</v>
      </c>
      <c r="BA277" s="25">
        <v>0.16903397659089944</v>
      </c>
      <c r="BB277" s="25">
        <v>1</v>
      </c>
      <c r="BC277" s="25">
        <v>58</v>
      </c>
      <c r="BD277" s="25">
        <v>53.886666666666663</v>
      </c>
    </row>
    <row r="278" spans="52:56" x14ac:dyDescent="0.25">
      <c r="AZ278" s="25">
        <v>275</v>
      </c>
      <c r="BA278" s="25">
        <v>0.16903397659089944</v>
      </c>
      <c r="BB278" s="25">
        <v>0</v>
      </c>
      <c r="BC278" s="25">
        <v>58</v>
      </c>
      <c r="BD278" s="25">
        <v>54.083333333333329</v>
      </c>
    </row>
    <row r="279" spans="52:56" x14ac:dyDescent="0.25">
      <c r="AZ279" s="25">
        <v>276</v>
      </c>
      <c r="BA279" s="25">
        <v>0.16903397659089944</v>
      </c>
      <c r="BB279" s="25">
        <v>0</v>
      </c>
      <c r="BC279" s="25">
        <v>58</v>
      </c>
      <c r="BD279" s="25">
        <v>54.279999999999994</v>
      </c>
    </row>
    <row r="280" spans="52:56" x14ac:dyDescent="0.25">
      <c r="AZ280" s="25">
        <v>277</v>
      </c>
      <c r="BA280" s="25">
        <v>0.16903397659089944</v>
      </c>
      <c r="BB280" s="25">
        <v>1</v>
      </c>
      <c r="BC280" s="25">
        <v>59</v>
      </c>
      <c r="BD280" s="25">
        <v>54.476666666666667</v>
      </c>
    </row>
    <row r="281" spans="52:56" x14ac:dyDescent="0.25">
      <c r="AZ281" s="25">
        <v>278</v>
      </c>
      <c r="BA281" s="25">
        <v>0.16903397659089944</v>
      </c>
      <c r="BB281" s="25">
        <v>0</v>
      </c>
      <c r="BC281" s="25">
        <v>59</v>
      </c>
      <c r="BD281" s="25">
        <v>54.673333333333332</v>
      </c>
    </row>
    <row r="282" spans="52:56" x14ac:dyDescent="0.25">
      <c r="AZ282" s="25">
        <v>279</v>
      </c>
      <c r="BA282" s="25">
        <v>0.16903397659089944</v>
      </c>
      <c r="BB282" s="25">
        <v>0</v>
      </c>
      <c r="BC282" s="25">
        <v>59</v>
      </c>
      <c r="BD282" s="25">
        <v>54.87</v>
      </c>
    </row>
    <row r="283" spans="52:56" x14ac:dyDescent="0.25">
      <c r="AZ283" s="25">
        <v>280</v>
      </c>
      <c r="BA283" s="25">
        <v>0.16903397659089944</v>
      </c>
      <c r="BB283" s="25">
        <v>0</v>
      </c>
      <c r="BC283" s="25">
        <v>59</v>
      </c>
      <c r="BD283" s="25">
        <v>55.066666666666663</v>
      </c>
    </row>
    <row r="284" spans="52:56" x14ac:dyDescent="0.25">
      <c r="AZ284" s="25">
        <v>281</v>
      </c>
      <c r="BA284" s="25">
        <v>0.16903397659089944</v>
      </c>
      <c r="BB284" s="25">
        <v>0</v>
      </c>
      <c r="BC284" s="25">
        <v>59</v>
      </c>
      <c r="BD284" s="25">
        <v>55.263333333333328</v>
      </c>
    </row>
    <row r="285" spans="52:56" x14ac:dyDescent="0.25">
      <c r="AZ285" s="25">
        <v>282</v>
      </c>
      <c r="BA285" s="25">
        <v>0.16903397659089944</v>
      </c>
      <c r="BB285" s="25">
        <v>0</v>
      </c>
      <c r="BC285" s="25">
        <v>59</v>
      </c>
      <c r="BD285" s="25">
        <v>55.459999999999994</v>
      </c>
    </row>
    <row r="286" spans="52:56" x14ac:dyDescent="0.25">
      <c r="AZ286" s="25">
        <v>283</v>
      </c>
      <c r="BA286" s="25">
        <v>0.16903397659089944</v>
      </c>
      <c r="BB286" s="25">
        <v>0</v>
      </c>
      <c r="BC286" s="25">
        <v>59</v>
      </c>
      <c r="BD286" s="25">
        <v>55.656666666666666</v>
      </c>
    </row>
    <row r="287" spans="52:56" x14ac:dyDescent="0.25">
      <c r="AZ287" s="25">
        <v>284</v>
      </c>
      <c r="BA287" s="25">
        <v>0.16903397659089944</v>
      </c>
      <c r="BB287" s="25">
        <v>0</v>
      </c>
      <c r="BC287" s="25">
        <v>59</v>
      </c>
      <c r="BD287" s="25">
        <v>55.853333333333332</v>
      </c>
    </row>
    <row r="288" spans="52:56" x14ac:dyDescent="0.25">
      <c r="AZ288" s="25">
        <v>285</v>
      </c>
      <c r="BA288" s="25">
        <v>0.16903397659089944</v>
      </c>
      <c r="BB288" s="25">
        <v>0</v>
      </c>
      <c r="BC288" s="25">
        <v>59</v>
      </c>
      <c r="BD288" s="25">
        <v>56.05</v>
      </c>
    </row>
    <row r="289" spans="52:56" x14ac:dyDescent="0.25">
      <c r="AZ289" s="25">
        <v>286</v>
      </c>
      <c r="BA289" s="25">
        <v>0.16903397659089944</v>
      </c>
      <c r="BB289" s="25">
        <v>0</v>
      </c>
      <c r="BC289" s="25">
        <v>59</v>
      </c>
      <c r="BD289" s="25">
        <v>56.246666666666663</v>
      </c>
    </row>
    <row r="290" spans="52:56" x14ac:dyDescent="0.25">
      <c r="AZ290" s="25">
        <v>287</v>
      </c>
      <c r="BA290" s="25">
        <v>0.16903397659089944</v>
      </c>
      <c r="BB290" s="25">
        <v>0</v>
      </c>
      <c r="BC290" s="25">
        <v>59</v>
      </c>
      <c r="BD290" s="25">
        <v>56.443333333333328</v>
      </c>
    </row>
    <row r="291" spans="52:56" x14ac:dyDescent="0.25">
      <c r="AZ291" s="25">
        <v>288</v>
      </c>
      <c r="BA291" s="25">
        <v>0.16903397659089944</v>
      </c>
      <c r="BB291" s="25">
        <v>0</v>
      </c>
      <c r="BC291" s="25">
        <v>59</v>
      </c>
      <c r="BD291" s="25">
        <v>56.64</v>
      </c>
    </row>
    <row r="292" spans="52:56" x14ac:dyDescent="0.25">
      <c r="AZ292" s="25">
        <v>289</v>
      </c>
      <c r="BA292" s="25">
        <v>0.16903397659089944</v>
      </c>
      <c r="BB292" s="25">
        <v>0</v>
      </c>
      <c r="BC292" s="25">
        <v>59</v>
      </c>
      <c r="BD292" s="25">
        <v>56.836666666666666</v>
      </c>
    </row>
    <row r="293" spans="52:56" x14ac:dyDescent="0.25">
      <c r="AZ293" s="25">
        <v>290</v>
      </c>
      <c r="BA293" s="25">
        <v>0.16903397659089944</v>
      </c>
      <c r="BB293" s="25">
        <v>0</v>
      </c>
      <c r="BC293" s="25">
        <v>59</v>
      </c>
      <c r="BD293" s="25">
        <v>57.033333333333331</v>
      </c>
    </row>
    <row r="294" spans="52:56" x14ac:dyDescent="0.25">
      <c r="AZ294" s="25">
        <v>291</v>
      </c>
      <c r="BA294" s="25">
        <v>0.16903397659089944</v>
      </c>
      <c r="BB294" s="25">
        <v>0</v>
      </c>
      <c r="BC294" s="25">
        <v>59</v>
      </c>
      <c r="BD294" s="25">
        <v>57.23</v>
      </c>
    </row>
    <row r="295" spans="52:56" x14ac:dyDescent="0.25">
      <c r="AZ295" s="25">
        <v>292</v>
      </c>
      <c r="BA295" s="25">
        <v>0.16903397659089944</v>
      </c>
      <c r="BB295" s="25">
        <v>0</v>
      </c>
      <c r="BC295" s="25">
        <v>59</v>
      </c>
      <c r="BD295" s="25">
        <v>57.426666666666662</v>
      </c>
    </row>
    <row r="296" spans="52:56" x14ac:dyDescent="0.25">
      <c r="AZ296" s="25">
        <v>293</v>
      </c>
      <c r="BA296" s="25">
        <v>0.16903397659089944</v>
      </c>
      <c r="BB296" s="25">
        <v>0</v>
      </c>
      <c r="BC296" s="25">
        <v>59</v>
      </c>
      <c r="BD296" s="25">
        <v>57.623333333333328</v>
      </c>
    </row>
    <row r="297" spans="52:56" x14ac:dyDescent="0.25">
      <c r="AZ297" s="25">
        <v>294</v>
      </c>
      <c r="BA297" s="25">
        <v>0.16903397659089944</v>
      </c>
      <c r="BB297" s="25">
        <v>0</v>
      </c>
      <c r="BC297" s="25">
        <v>59</v>
      </c>
      <c r="BD297" s="25">
        <v>57.82</v>
      </c>
    </row>
    <row r="298" spans="52:56" x14ac:dyDescent="0.25">
      <c r="AZ298" s="25">
        <v>295</v>
      </c>
      <c r="BA298" s="25">
        <v>0.16903397659089944</v>
      </c>
      <c r="BB298" s="25">
        <v>0</v>
      </c>
      <c r="BC298" s="25">
        <v>59</v>
      </c>
      <c r="BD298" s="25">
        <v>58.016666666666666</v>
      </c>
    </row>
    <row r="299" spans="52:56" x14ac:dyDescent="0.25">
      <c r="AZ299" s="25">
        <v>296</v>
      </c>
      <c r="BA299" s="25">
        <v>0.16903397659089944</v>
      </c>
      <c r="BB299" s="25">
        <v>0</v>
      </c>
      <c r="BC299" s="25">
        <v>59</v>
      </c>
      <c r="BD299" s="25">
        <v>58.213333333333331</v>
      </c>
    </row>
    <row r="300" spans="52:56" x14ac:dyDescent="0.25">
      <c r="AZ300" s="25">
        <v>297</v>
      </c>
      <c r="BA300" s="25">
        <v>0.16903397659089944</v>
      </c>
      <c r="BB300" s="25">
        <v>0</v>
      </c>
      <c r="BC300" s="25">
        <v>59</v>
      </c>
      <c r="BD300" s="25">
        <v>58.41</v>
      </c>
    </row>
    <row r="301" spans="52:56" x14ac:dyDescent="0.25">
      <c r="AZ301" s="25">
        <v>298</v>
      </c>
      <c r="BA301" s="25">
        <v>0.16903397659089944</v>
      </c>
      <c r="BB301" s="25">
        <v>0</v>
      </c>
      <c r="BC301" s="25">
        <v>59</v>
      </c>
      <c r="BD301" s="25">
        <v>58.606666666666662</v>
      </c>
    </row>
    <row r="302" spans="52:56" x14ac:dyDescent="0.25">
      <c r="AZ302" s="25">
        <v>299</v>
      </c>
      <c r="BA302" s="25">
        <v>0.16903397659089944</v>
      </c>
      <c r="BB302" s="25">
        <v>0</v>
      </c>
      <c r="BC302" s="25">
        <v>59</v>
      </c>
      <c r="BD302" s="25">
        <v>58.803333333333327</v>
      </c>
    </row>
    <row r="303" spans="52:56" x14ac:dyDescent="0.25">
      <c r="AZ303" s="25">
        <v>300</v>
      </c>
      <c r="BA303" s="25">
        <v>0.16903397659089944</v>
      </c>
      <c r="BB303" s="25">
        <v>0</v>
      </c>
      <c r="BC303" s="25">
        <v>59</v>
      </c>
      <c r="BD303" s="25">
        <v>59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2'!$B$10:$B$10" display="Inputs"/>
    <hyperlink ref="D4" location="'LR_Output2'!$B$40:$B$40" display="Prior Class Prob."/>
    <hyperlink ref="F4" location="'LR_Output2'!$B$49:$B$49" display="Predictors"/>
    <hyperlink ref="H4" location="'LR_Output2'!$B$59:$B$59" display="Regress. Model"/>
    <hyperlink ref="J4" location="'LR_Output2'!$B$66:$B$66" display="Train. Score Summary"/>
    <hyperlink ref="B5" location="'LR_Output2'!$B$90:$B$90" display="Valid. Score Summary"/>
    <hyperlink ref="D5" location="'LR_TrainingLiftChart2'!$B$10:$B$10" display="Training Lift Chart"/>
    <hyperlink ref="F5" location="'LR_ValidationLiftChart2'!$B$10:$B$10" display="Validation Lift Chart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203"/>
  <sheetViews>
    <sheetView showGridLines="0" topLeftCell="A7" workbookViewId="0"/>
  </sheetViews>
  <sheetFormatPr defaultRowHeight="15.75" x14ac:dyDescent="0.25"/>
  <cols>
    <col min="14" max="14" width="11.5" bestFit="1" customWidth="1"/>
    <col min="52" max="52" width="7.125" customWidth="1"/>
    <col min="53" max="53" width="14" bestFit="1" customWidth="1"/>
    <col min="54" max="54" width="11.5" bestFit="1" customWidth="1"/>
    <col min="55" max="55" width="40.5" bestFit="1" customWidth="1"/>
    <col min="56" max="56" width="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ht="18.75" x14ac:dyDescent="0.3">
      <c r="B1" s="5" t="s">
        <v>44</v>
      </c>
      <c r="N1" t="s">
        <v>168</v>
      </c>
      <c r="BZ1" s="10" t="s">
        <v>54</v>
      </c>
      <c r="CA1" s="10" t="s">
        <v>55</v>
      </c>
      <c r="CB1" s="10" t="s">
        <v>56</v>
      </c>
    </row>
    <row r="2" spans="2:80" x14ac:dyDescent="0.25">
      <c r="BZ2">
        <v>0</v>
      </c>
      <c r="CA2">
        <v>0</v>
      </c>
      <c r="CB2">
        <v>0</v>
      </c>
    </row>
    <row r="3" spans="2:8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10" t="s">
        <v>47</v>
      </c>
      <c r="BA3" s="10" t="s">
        <v>48</v>
      </c>
      <c r="BB3" s="10" t="s">
        <v>49</v>
      </c>
      <c r="BC3" s="10" t="s">
        <v>50</v>
      </c>
      <c r="BD3" s="10" t="s">
        <v>51</v>
      </c>
      <c r="BE3" s="10" t="s">
        <v>52</v>
      </c>
      <c r="BF3" s="10" t="s">
        <v>53</v>
      </c>
      <c r="BZ3">
        <v>0.79503105590062106</v>
      </c>
      <c r="CA3">
        <v>0.82051282051282048</v>
      </c>
      <c r="CB3">
        <v>0.79503105590062106</v>
      </c>
    </row>
    <row r="4" spans="2:8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67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24">
        <v>1</v>
      </c>
      <c r="BA4" s="24">
        <v>0.20524334548751555</v>
      </c>
      <c r="BB4" s="24">
        <v>0</v>
      </c>
      <c r="BC4" s="24">
        <v>0</v>
      </c>
      <c r="BD4" s="24">
        <v>0.19500000000000001</v>
      </c>
      <c r="BE4">
        <v>1</v>
      </c>
      <c r="BF4">
        <v>0.25641025641025639</v>
      </c>
      <c r="BZ4">
        <v>1</v>
      </c>
      <c r="CA4">
        <v>1</v>
      </c>
      <c r="CB4">
        <v>1</v>
      </c>
    </row>
    <row r="5" spans="2:80" x14ac:dyDescent="0.25">
      <c r="B5" s="23" t="s">
        <v>68</v>
      </c>
      <c r="C5" s="19"/>
      <c r="D5" s="23" t="s">
        <v>69</v>
      </c>
      <c r="E5" s="19"/>
      <c r="F5" s="23" t="s">
        <v>70</v>
      </c>
      <c r="G5" s="19"/>
      <c r="H5" s="17"/>
      <c r="I5" s="19"/>
      <c r="J5" s="17"/>
      <c r="K5" s="19"/>
      <c r="N5" s="7">
        <v>0</v>
      </c>
      <c r="O5" s="7">
        <v>0</v>
      </c>
      <c r="P5" s="7">
        <v>16</v>
      </c>
      <c r="Q5" s="7">
        <v>16</v>
      </c>
      <c r="AZ5" s="24">
        <v>2</v>
      </c>
      <c r="BA5" s="24">
        <v>0.20524334548751555</v>
      </c>
      <c r="BB5" s="24">
        <v>0</v>
      </c>
      <c r="BC5" s="24">
        <v>0</v>
      </c>
      <c r="BD5" s="24">
        <v>0.39</v>
      </c>
      <c r="BE5">
        <v>2</v>
      </c>
      <c r="BF5">
        <v>1.0256410256410255</v>
      </c>
    </row>
    <row r="6" spans="2:80" x14ac:dyDescent="0.25">
      <c r="AZ6" s="24">
        <v>3</v>
      </c>
      <c r="BA6" s="24">
        <v>0.20524334548751555</v>
      </c>
      <c r="BB6" s="24">
        <v>0</v>
      </c>
      <c r="BC6" s="24">
        <v>0</v>
      </c>
      <c r="BD6" s="24">
        <v>0.58499999999999996</v>
      </c>
      <c r="BE6">
        <v>3</v>
      </c>
      <c r="BF6">
        <v>0.76923076923076916</v>
      </c>
    </row>
    <row r="7" spans="2:80" x14ac:dyDescent="0.25">
      <c r="AZ7" s="24">
        <v>4</v>
      </c>
      <c r="BA7" s="24">
        <v>0.20524334548751555</v>
      </c>
      <c r="BB7" s="24">
        <v>0</v>
      </c>
      <c r="BC7" s="24">
        <v>0</v>
      </c>
      <c r="BD7" s="24">
        <v>0.78</v>
      </c>
      <c r="BE7">
        <v>4</v>
      </c>
      <c r="BF7">
        <v>1.7948717948717947</v>
      </c>
    </row>
    <row r="8" spans="2:80" x14ac:dyDescent="0.25">
      <c r="AZ8" s="24">
        <v>5</v>
      </c>
      <c r="BA8" s="24">
        <v>0.20524334548751555</v>
      </c>
      <c r="BB8" s="24">
        <v>0</v>
      </c>
      <c r="BC8" s="24">
        <v>0</v>
      </c>
      <c r="BD8" s="24">
        <v>0.97500000000000009</v>
      </c>
      <c r="BE8">
        <v>5</v>
      </c>
      <c r="BF8">
        <v>0.51282051282051277</v>
      </c>
    </row>
    <row r="9" spans="2:80" x14ac:dyDescent="0.25">
      <c r="AZ9" s="24">
        <v>6</v>
      </c>
      <c r="BA9" s="24">
        <v>0.20524334548751555</v>
      </c>
      <c r="BB9" s="24">
        <v>0</v>
      </c>
      <c r="BC9" s="24">
        <v>0</v>
      </c>
      <c r="BD9" s="24">
        <v>1.17</v>
      </c>
      <c r="BE9">
        <v>6</v>
      </c>
      <c r="BF9">
        <v>1.2820512820512819</v>
      </c>
    </row>
    <row r="10" spans="2:80" x14ac:dyDescent="0.25">
      <c r="AZ10" s="24">
        <v>7</v>
      </c>
      <c r="BA10" s="24">
        <v>0.20524334548751555</v>
      </c>
      <c r="BB10" s="24">
        <v>0</v>
      </c>
      <c r="BC10" s="24">
        <v>0</v>
      </c>
      <c r="BD10" s="24">
        <v>1.365</v>
      </c>
      <c r="BE10">
        <v>7</v>
      </c>
      <c r="BF10">
        <v>1.0256410256410255</v>
      </c>
    </row>
    <row r="11" spans="2:80" x14ac:dyDescent="0.25">
      <c r="AZ11" s="24">
        <v>8</v>
      </c>
      <c r="BA11" s="24">
        <v>0.20524334548751555</v>
      </c>
      <c r="BB11" s="24">
        <v>0</v>
      </c>
      <c r="BC11" s="24">
        <v>0</v>
      </c>
      <c r="BD11" s="24">
        <v>1.56</v>
      </c>
      <c r="BE11">
        <v>8</v>
      </c>
      <c r="BF11">
        <v>1.5384615384615383</v>
      </c>
    </row>
    <row r="12" spans="2:80" x14ac:dyDescent="0.25">
      <c r="AZ12" s="24">
        <v>9</v>
      </c>
      <c r="BA12" s="24">
        <v>0.20524334548751555</v>
      </c>
      <c r="BB12" s="24">
        <v>0</v>
      </c>
      <c r="BC12" s="24">
        <v>0</v>
      </c>
      <c r="BD12" s="24">
        <v>1.7550000000000001</v>
      </c>
      <c r="BE12">
        <v>9</v>
      </c>
      <c r="BF12">
        <v>0.76923076923076916</v>
      </c>
    </row>
    <row r="13" spans="2:80" x14ac:dyDescent="0.25">
      <c r="AZ13" s="24">
        <v>10</v>
      </c>
      <c r="BA13" s="24">
        <v>0.20524334548751555</v>
      </c>
      <c r="BB13" s="24">
        <v>0</v>
      </c>
      <c r="BC13" s="24">
        <v>0</v>
      </c>
      <c r="BD13" s="24">
        <v>1.9500000000000002</v>
      </c>
      <c r="BE13">
        <v>10</v>
      </c>
      <c r="BF13">
        <v>1.0256410256410255</v>
      </c>
    </row>
    <row r="14" spans="2:80" x14ac:dyDescent="0.25">
      <c r="AZ14" s="24">
        <v>11</v>
      </c>
      <c r="BA14" s="24">
        <v>0.20524334548751555</v>
      </c>
      <c r="BB14" s="24">
        <v>0</v>
      </c>
      <c r="BC14" s="24">
        <v>0</v>
      </c>
      <c r="BD14" s="24">
        <v>2.145</v>
      </c>
    </row>
    <row r="15" spans="2:80" x14ac:dyDescent="0.25">
      <c r="AZ15" s="24">
        <v>12</v>
      </c>
      <c r="BA15" s="24">
        <v>0.20524334548751555</v>
      </c>
      <c r="BB15" s="24">
        <v>0</v>
      </c>
      <c r="BC15" s="24">
        <v>0</v>
      </c>
      <c r="BD15" s="24">
        <v>2.34</v>
      </c>
    </row>
    <row r="16" spans="2:80" x14ac:dyDescent="0.25">
      <c r="AZ16" s="24">
        <v>13</v>
      </c>
      <c r="BA16" s="24">
        <v>0.20524334548751555</v>
      </c>
      <c r="BB16" s="24">
        <v>0</v>
      </c>
      <c r="BC16" s="24">
        <v>0</v>
      </c>
      <c r="BD16" s="24">
        <v>2.5350000000000001</v>
      </c>
    </row>
    <row r="17" spans="52:56" x14ac:dyDescent="0.25">
      <c r="AZ17" s="24">
        <v>14</v>
      </c>
      <c r="BA17" s="24">
        <v>0.20524334548751555</v>
      </c>
      <c r="BB17" s="24">
        <v>0</v>
      </c>
      <c r="BC17" s="24">
        <v>0</v>
      </c>
      <c r="BD17" s="24">
        <v>2.73</v>
      </c>
    </row>
    <row r="18" spans="52:56" x14ac:dyDescent="0.25">
      <c r="AZ18" s="24">
        <v>15</v>
      </c>
      <c r="BA18" s="24">
        <v>0.20524334548751555</v>
      </c>
      <c r="BB18" s="24">
        <v>0</v>
      </c>
      <c r="BC18" s="24">
        <v>0</v>
      </c>
      <c r="BD18" s="24">
        <v>2.9250000000000003</v>
      </c>
    </row>
    <row r="19" spans="52:56" x14ac:dyDescent="0.25">
      <c r="AZ19" s="24">
        <v>16</v>
      </c>
      <c r="BA19" s="24">
        <v>0.20524334548751555</v>
      </c>
      <c r="BB19" s="24">
        <v>0</v>
      </c>
      <c r="BC19" s="24">
        <v>0</v>
      </c>
      <c r="BD19" s="24">
        <v>3.12</v>
      </c>
    </row>
    <row r="20" spans="52:56" x14ac:dyDescent="0.25">
      <c r="AZ20" s="24">
        <v>17</v>
      </c>
      <c r="BA20" s="24">
        <v>0.20524334548751555</v>
      </c>
      <c r="BB20" s="24">
        <v>0</v>
      </c>
      <c r="BC20" s="24">
        <v>0</v>
      </c>
      <c r="BD20" s="24">
        <v>3.3149999999999999</v>
      </c>
    </row>
    <row r="21" spans="52:56" x14ac:dyDescent="0.25">
      <c r="AZ21" s="24">
        <v>18</v>
      </c>
      <c r="BA21" s="24">
        <v>0.20524334548751555</v>
      </c>
      <c r="BB21" s="24">
        <v>0</v>
      </c>
      <c r="BC21" s="24">
        <v>0</v>
      </c>
      <c r="BD21" s="24">
        <v>3.5100000000000002</v>
      </c>
    </row>
    <row r="22" spans="52:56" x14ac:dyDescent="0.25">
      <c r="AZ22" s="24">
        <v>19</v>
      </c>
      <c r="BA22" s="24">
        <v>0.20524334548751555</v>
      </c>
      <c r="BB22" s="24">
        <v>0</v>
      </c>
      <c r="BC22" s="24">
        <v>0</v>
      </c>
      <c r="BD22" s="24">
        <v>3.7050000000000001</v>
      </c>
    </row>
    <row r="23" spans="52:56" x14ac:dyDescent="0.25">
      <c r="AZ23" s="24">
        <v>20</v>
      </c>
      <c r="BA23" s="24">
        <v>0.20524334548751555</v>
      </c>
      <c r="BB23" s="24">
        <v>1</v>
      </c>
      <c r="BC23" s="24">
        <v>1</v>
      </c>
      <c r="BD23" s="24">
        <v>3.9000000000000004</v>
      </c>
    </row>
    <row r="24" spans="52:56" x14ac:dyDescent="0.25">
      <c r="AZ24" s="25">
        <v>21</v>
      </c>
      <c r="BA24" s="25">
        <v>0.20524334548751555</v>
      </c>
      <c r="BB24" s="25">
        <v>0</v>
      </c>
      <c r="BC24" s="25">
        <v>1</v>
      </c>
      <c r="BD24" s="25">
        <v>4.0949999999999998</v>
      </c>
    </row>
    <row r="25" spans="52:56" x14ac:dyDescent="0.25">
      <c r="AZ25" s="25">
        <v>22</v>
      </c>
      <c r="BA25" s="25">
        <v>0.20524334548751555</v>
      </c>
      <c r="BB25" s="25">
        <v>0</v>
      </c>
      <c r="BC25" s="25">
        <v>1</v>
      </c>
      <c r="BD25" s="25">
        <v>4.29</v>
      </c>
    </row>
    <row r="26" spans="52:56" x14ac:dyDescent="0.25">
      <c r="AZ26" s="25">
        <v>23</v>
      </c>
      <c r="BA26" s="25">
        <v>0.20524334548751555</v>
      </c>
      <c r="BB26" s="25">
        <v>0</v>
      </c>
      <c r="BC26" s="25">
        <v>1</v>
      </c>
      <c r="BD26" s="25">
        <v>4.4850000000000003</v>
      </c>
    </row>
    <row r="27" spans="52:56" x14ac:dyDescent="0.25">
      <c r="AZ27" s="25">
        <v>24</v>
      </c>
      <c r="BA27" s="25">
        <v>0.20524334548751555</v>
      </c>
      <c r="BB27" s="25">
        <v>0</v>
      </c>
      <c r="BC27" s="25">
        <v>1</v>
      </c>
      <c r="BD27" s="25">
        <v>4.68</v>
      </c>
    </row>
    <row r="28" spans="52:56" x14ac:dyDescent="0.25">
      <c r="AZ28" s="25">
        <v>25</v>
      </c>
      <c r="BA28" s="25">
        <v>0.20524334548751555</v>
      </c>
      <c r="BB28" s="25">
        <v>0</v>
      </c>
      <c r="BC28" s="25">
        <v>1</v>
      </c>
      <c r="BD28" s="25">
        <v>4.875</v>
      </c>
    </row>
    <row r="29" spans="52:56" x14ac:dyDescent="0.25">
      <c r="AZ29" s="25">
        <v>26</v>
      </c>
      <c r="BA29" s="25">
        <v>0.20524334548751555</v>
      </c>
      <c r="BB29" s="25">
        <v>1</v>
      </c>
      <c r="BC29" s="25">
        <v>2</v>
      </c>
      <c r="BD29" s="25">
        <v>5.07</v>
      </c>
    </row>
    <row r="30" spans="52:56" x14ac:dyDescent="0.25">
      <c r="AZ30" s="25">
        <v>27</v>
      </c>
      <c r="BA30" s="25">
        <v>0.20524334548751555</v>
      </c>
      <c r="BB30" s="25">
        <v>0</v>
      </c>
      <c r="BC30" s="25">
        <v>2</v>
      </c>
      <c r="BD30" s="25">
        <v>5.2650000000000006</v>
      </c>
    </row>
    <row r="31" spans="52:56" x14ac:dyDescent="0.25">
      <c r="AZ31" s="25">
        <v>28</v>
      </c>
      <c r="BA31" s="25">
        <v>0.20524334548751555</v>
      </c>
      <c r="BB31" s="25">
        <v>0</v>
      </c>
      <c r="BC31" s="25">
        <v>2</v>
      </c>
      <c r="BD31" s="25">
        <v>5.46</v>
      </c>
    </row>
    <row r="32" spans="52:56" x14ac:dyDescent="0.25">
      <c r="AZ32" s="25">
        <v>29</v>
      </c>
      <c r="BA32" s="25">
        <v>0.20524334548751555</v>
      </c>
      <c r="BB32" s="25">
        <v>0</v>
      </c>
      <c r="BC32" s="25">
        <v>2</v>
      </c>
      <c r="BD32" s="25">
        <v>5.6550000000000002</v>
      </c>
    </row>
    <row r="33" spans="9:56" x14ac:dyDescent="0.25">
      <c r="AZ33" s="25">
        <v>30</v>
      </c>
      <c r="BA33" s="25">
        <v>0.20524334548751555</v>
      </c>
      <c r="BB33" s="25">
        <v>1</v>
      </c>
      <c r="BC33" s="25">
        <v>3</v>
      </c>
      <c r="BD33" s="25">
        <v>5.8500000000000005</v>
      </c>
    </row>
    <row r="34" spans="9:56" x14ac:dyDescent="0.25">
      <c r="AZ34" s="25">
        <v>31</v>
      </c>
      <c r="BA34" s="25">
        <v>0.20524334548751555</v>
      </c>
      <c r="BB34" s="25">
        <v>0</v>
      </c>
      <c r="BC34" s="25">
        <v>3</v>
      </c>
      <c r="BD34" s="25">
        <v>6.0449999999999999</v>
      </c>
    </row>
    <row r="35" spans="9:56" x14ac:dyDescent="0.25">
      <c r="AZ35" s="25">
        <v>32</v>
      </c>
      <c r="BA35" s="25">
        <v>0.20524334548751555</v>
      </c>
      <c r="BB35" s="25">
        <v>0</v>
      </c>
      <c r="BC35" s="25">
        <v>3</v>
      </c>
      <c r="BD35" s="25">
        <v>6.24</v>
      </c>
    </row>
    <row r="36" spans="9:56" x14ac:dyDescent="0.25">
      <c r="AZ36" s="25">
        <v>33</v>
      </c>
      <c r="BA36" s="25">
        <v>0.20524334548751555</v>
      </c>
      <c r="BB36" s="25">
        <v>1</v>
      </c>
      <c r="BC36" s="25">
        <v>4</v>
      </c>
      <c r="BD36" s="25">
        <v>6.4350000000000005</v>
      </c>
    </row>
    <row r="37" spans="9:56" x14ac:dyDescent="0.25">
      <c r="AZ37" s="25">
        <v>34</v>
      </c>
      <c r="BA37" s="25">
        <v>0.20524334548751555</v>
      </c>
      <c r="BB37" s="25">
        <v>0</v>
      </c>
      <c r="BC37" s="25">
        <v>4</v>
      </c>
      <c r="BD37" s="25">
        <v>6.63</v>
      </c>
    </row>
    <row r="38" spans="9:56" x14ac:dyDescent="0.25">
      <c r="I38" s="10" t="s">
        <v>57</v>
      </c>
      <c r="J38" s="10" t="s">
        <v>58</v>
      </c>
      <c r="K38" s="10" t="s">
        <v>59</v>
      </c>
      <c r="L38" s="10" t="s">
        <v>60</v>
      </c>
      <c r="M38" s="10" t="s">
        <v>61</v>
      </c>
      <c r="AZ38" s="25">
        <v>35</v>
      </c>
      <c r="BA38" s="25">
        <v>0.20524334548751555</v>
      </c>
      <c r="BB38" s="25">
        <v>0</v>
      </c>
      <c r="BC38" s="25">
        <v>4</v>
      </c>
      <c r="BD38" s="25">
        <v>6.8250000000000002</v>
      </c>
    </row>
    <row r="39" spans="9:56" x14ac:dyDescent="0.25">
      <c r="I39" s="9">
        <v>1</v>
      </c>
      <c r="J39" s="7">
        <v>0.05</v>
      </c>
      <c r="K39" s="7">
        <v>0.22360679774997896</v>
      </c>
      <c r="L39" s="7">
        <v>0</v>
      </c>
      <c r="M39" s="7">
        <v>1</v>
      </c>
      <c r="AZ39" s="25">
        <v>36</v>
      </c>
      <c r="BA39" s="25">
        <v>0.20524334548751555</v>
      </c>
      <c r="BB39" s="25">
        <v>0</v>
      </c>
      <c r="BC39" s="25">
        <v>4</v>
      </c>
      <c r="BD39" s="25">
        <v>7.0200000000000005</v>
      </c>
    </row>
    <row r="40" spans="9:56" x14ac:dyDescent="0.25">
      <c r="I40" s="9">
        <v>2</v>
      </c>
      <c r="J40" s="7">
        <v>0.2</v>
      </c>
      <c r="K40" s="7">
        <v>0.4103913408340617</v>
      </c>
      <c r="L40" s="7">
        <v>0</v>
      </c>
      <c r="M40" s="7">
        <v>1</v>
      </c>
      <c r="AZ40" s="25">
        <v>37</v>
      </c>
      <c r="BA40" s="25">
        <v>0.20524334548751555</v>
      </c>
      <c r="BB40" s="25">
        <v>1</v>
      </c>
      <c r="BC40" s="25">
        <v>5</v>
      </c>
      <c r="BD40" s="25">
        <v>7.2149999999999999</v>
      </c>
    </row>
    <row r="41" spans="9:56" x14ac:dyDescent="0.25">
      <c r="I41" s="9">
        <v>3</v>
      </c>
      <c r="J41" s="7">
        <v>0.15</v>
      </c>
      <c r="K41" s="7">
        <v>0.36634754853252322</v>
      </c>
      <c r="L41" s="7">
        <v>0</v>
      </c>
      <c r="M41" s="7">
        <v>1</v>
      </c>
      <c r="AZ41" s="25">
        <v>38</v>
      </c>
      <c r="BA41" s="25">
        <v>0.20524334548751555</v>
      </c>
      <c r="BB41" s="25">
        <v>0</v>
      </c>
      <c r="BC41" s="25">
        <v>5</v>
      </c>
      <c r="BD41" s="25">
        <v>7.41</v>
      </c>
    </row>
    <row r="42" spans="9:56" x14ac:dyDescent="0.25">
      <c r="I42" s="9">
        <v>4</v>
      </c>
      <c r="J42" s="7">
        <v>0.35</v>
      </c>
      <c r="K42" s="7">
        <v>0.48936048492959283</v>
      </c>
      <c r="L42" s="7">
        <v>0</v>
      </c>
      <c r="M42" s="7">
        <v>1</v>
      </c>
      <c r="AZ42" s="25">
        <v>39</v>
      </c>
      <c r="BA42" s="25">
        <v>0.20524334548751555</v>
      </c>
      <c r="BB42" s="25">
        <v>0</v>
      </c>
      <c r="BC42" s="25">
        <v>5</v>
      </c>
      <c r="BD42" s="25">
        <v>7.6050000000000004</v>
      </c>
    </row>
    <row r="43" spans="9:56" x14ac:dyDescent="0.25">
      <c r="I43" s="9">
        <v>5</v>
      </c>
      <c r="J43" s="7">
        <v>0.1</v>
      </c>
      <c r="K43" s="7">
        <v>0.30779350562554625</v>
      </c>
      <c r="L43" s="7">
        <v>0</v>
      </c>
      <c r="M43" s="7">
        <v>1</v>
      </c>
      <c r="AZ43" s="25">
        <v>40</v>
      </c>
      <c r="BA43" s="25">
        <v>0.20524334548751555</v>
      </c>
      <c r="BB43" s="25">
        <v>0</v>
      </c>
      <c r="BC43" s="25">
        <v>5</v>
      </c>
      <c r="BD43" s="25">
        <v>7.8000000000000007</v>
      </c>
    </row>
    <row r="44" spans="9:56" x14ac:dyDescent="0.25">
      <c r="I44" s="9">
        <v>6</v>
      </c>
      <c r="J44" s="7">
        <v>0.25</v>
      </c>
      <c r="K44" s="7">
        <v>0.4442616583193193</v>
      </c>
      <c r="L44" s="7">
        <v>0</v>
      </c>
      <c r="M44" s="7">
        <v>1</v>
      </c>
      <c r="AZ44" s="24">
        <v>41</v>
      </c>
      <c r="BA44" s="24">
        <v>0.20524334548751555</v>
      </c>
      <c r="BB44" s="24">
        <v>0</v>
      </c>
      <c r="BC44" s="24">
        <v>5</v>
      </c>
      <c r="BD44" s="24">
        <v>7.9950000000000001</v>
      </c>
    </row>
    <row r="45" spans="9:56" x14ac:dyDescent="0.25">
      <c r="I45" s="9">
        <v>7</v>
      </c>
      <c r="J45" s="7">
        <v>0.2</v>
      </c>
      <c r="K45" s="7">
        <v>0.4103913408340617</v>
      </c>
      <c r="L45" s="7">
        <v>0</v>
      </c>
      <c r="M45" s="7">
        <v>1</v>
      </c>
      <c r="AZ45" s="24">
        <v>42</v>
      </c>
      <c r="BA45" s="24">
        <v>0.20524334548751555</v>
      </c>
      <c r="BB45" s="24">
        <v>0</v>
      </c>
      <c r="BC45" s="24">
        <v>5</v>
      </c>
      <c r="BD45" s="24">
        <v>8.19</v>
      </c>
    </row>
    <row r="46" spans="9:56" x14ac:dyDescent="0.25">
      <c r="I46" s="9">
        <v>8</v>
      </c>
      <c r="J46" s="7">
        <v>0.3</v>
      </c>
      <c r="K46" s="7">
        <v>0.47016234598162715</v>
      </c>
      <c r="L46" s="7">
        <v>0</v>
      </c>
      <c r="M46" s="7">
        <v>1</v>
      </c>
      <c r="AZ46" s="24">
        <v>43</v>
      </c>
      <c r="BA46" s="24">
        <v>0.20524334548751555</v>
      </c>
      <c r="BB46" s="24">
        <v>0</v>
      </c>
      <c r="BC46" s="24">
        <v>5</v>
      </c>
      <c r="BD46" s="24">
        <v>8.3849999999999998</v>
      </c>
    </row>
    <row r="47" spans="9:56" x14ac:dyDescent="0.25">
      <c r="I47" s="9">
        <v>9</v>
      </c>
      <c r="J47" s="7">
        <v>0.15</v>
      </c>
      <c r="K47" s="7">
        <v>0.36634754853252322</v>
      </c>
      <c r="L47" s="7">
        <v>0</v>
      </c>
      <c r="M47" s="7">
        <v>1</v>
      </c>
      <c r="AZ47" s="24">
        <v>44</v>
      </c>
      <c r="BA47" s="24">
        <v>0.20524334548751555</v>
      </c>
      <c r="BB47" s="24">
        <v>0</v>
      </c>
      <c r="BC47" s="24">
        <v>5</v>
      </c>
      <c r="BD47" s="24">
        <v>8.58</v>
      </c>
    </row>
    <row r="48" spans="9:56" x14ac:dyDescent="0.25">
      <c r="I48" s="9">
        <v>10</v>
      </c>
      <c r="J48" s="7">
        <v>0.2</v>
      </c>
      <c r="K48" s="7">
        <v>0.4103913408340617</v>
      </c>
      <c r="L48" s="7">
        <v>0</v>
      </c>
      <c r="M48" s="7">
        <v>1</v>
      </c>
      <c r="AZ48" s="24">
        <v>45</v>
      </c>
      <c r="BA48" s="24">
        <v>0.20524334548751555</v>
      </c>
      <c r="BB48" s="24">
        <v>0</v>
      </c>
      <c r="BC48" s="24">
        <v>5</v>
      </c>
      <c r="BD48" s="24">
        <v>8.7750000000000004</v>
      </c>
    </row>
    <row r="49" spans="52:56" x14ac:dyDescent="0.25">
      <c r="AZ49" s="24">
        <v>46</v>
      </c>
      <c r="BA49" s="24">
        <v>0.20524334548751555</v>
      </c>
      <c r="BB49" s="24">
        <v>0</v>
      </c>
      <c r="BC49" s="24">
        <v>5</v>
      </c>
      <c r="BD49" s="24">
        <v>8.9700000000000006</v>
      </c>
    </row>
    <row r="50" spans="52:56" x14ac:dyDescent="0.25">
      <c r="AZ50" s="24">
        <v>47</v>
      </c>
      <c r="BA50" s="24">
        <v>0.20524334548751555</v>
      </c>
      <c r="BB50" s="24">
        <v>1</v>
      </c>
      <c r="BC50" s="24">
        <v>6</v>
      </c>
      <c r="BD50" s="24">
        <v>9.1650000000000009</v>
      </c>
    </row>
    <row r="51" spans="52:56" x14ac:dyDescent="0.25">
      <c r="AZ51" s="24">
        <v>48</v>
      </c>
      <c r="BA51" s="24">
        <v>0.20524334548751555</v>
      </c>
      <c r="BB51" s="24">
        <v>0</v>
      </c>
      <c r="BC51" s="24">
        <v>6</v>
      </c>
      <c r="BD51" s="24">
        <v>9.36</v>
      </c>
    </row>
    <row r="52" spans="52:56" x14ac:dyDescent="0.25">
      <c r="AZ52" s="24">
        <v>49</v>
      </c>
      <c r="BA52" s="24">
        <v>0.20524334548751555</v>
      </c>
      <c r="BB52" s="24">
        <v>1</v>
      </c>
      <c r="BC52" s="24">
        <v>7</v>
      </c>
      <c r="BD52" s="24">
        <v>9.5549999999999997</v>
      </c>
    </row>
    <row r="53" spans="52:56" x14ac:dyDescent="0.25">
      <c r="AZ53" s="24">
        <v>50</v>
      </c>
      <c r="BA53" s="24">
        <v>0.20524334548751555</v>
      </c>
      <c r="BB53" s="24">
        <v>0</v>
      </c>
      <c r="BC53" s="24">
        <v>7</v>
      </c>
      <c r="BD53" s="24">
        <v>9.75</v>
      </c>
    </row>
    <row r="54" spans="52:56" x14ac:dyDescent="0.25">
      <c r="AZ54" s="24">
        <v>51</v>
      </c>
      <c r="BA54" s="24">
        <v>0.20524334548751555</v>
      </c>
      <c r="BB54" s="24">
        <v>0</v>
      </c>
      <c r="BC54" s="24">
        <v>7</v>
      </c>
      <c r="BD54" s="24">
        <v>9.9450000000000003</v>
      </c>
    </row>
    <row r="55" spans="52:56" x14ac:dyDescent="0.25">
      <c r="AZ55" s="24">
        <v>52</v>
      </c>
      <c r="BA55" s="24">
        <v>0.20524334548751555</v>
      </c>
      <c r="BB55" s="24">
        <v>0</v>
      </c>
      <c r="BC55" s="24">
        <v>7</v>
      </c>
      <c r="BD55" s="24">
        <v>10.14</v>
      </c>
    </row>
    <row r="56" spans="52:56" x14ac:dyDescent="0.25">
      <c r="AZ56" s="24">
        <v>53</v>
      </c>
      <c r="BA56" s="24">
        <v>0.20524334548751555</v>
      </c>
      <c r="BB56" s="24">
        <v>0</v>
      </c>
      <c r="BC56" s="24">
        <v>7</v>
      </c>
      <c r="BD56" s="24">
        <v>10.335000000000001</v>
      </c>
    </row>
    <row r="57" spans="52:56" x14ac:dyDescent="0.25">
      <c r="AZ57" s="24">
        <v>54</v>
      </c>
      <c r="BA57" s="24">
        <v>0.20524334548751555</v>
      </c>
      <c r="BB57" s="24">
        <v>0</v>
      </c>
      <c r="BC57" s="24">
        <v>7</v>
      </c>
      <c r="BD57" s="24">
        <v>10.530000000000001</v>
      </c>
    </row>
    <row r="58" spans="52:56" x14ac:dyDescent="0.25">
      <c r="AZ58" s="24">
        <v>55</v>
      </c>
      <c r="BA58" s="24">
        <v>0.20524334548751555</v>
      </c>
      <c r="BB58" s="24">
        <v>1</v>
      </c>
      <c r="BC58" s="24">
        <v>8</v>
      </c>
      <c r="BD58" s="24">
        <v>10.725</v>
      </c>
    </row>
    <row r="59" spans="52:56" x14ac:dyDescent="0.25">
      <c r="AZ59" s="24">
        <v>56</v>
      </c>
      <c r="BA59" s="24">
        <v>0.20524334548751555</v>
      </c>
      <c r="BB59" s="24">
        <v>0</v>
      </c>
      <c r="BC59" s="24">
        <v>8</v>
      </c>
      <c r="BD59" s="24">
        <v>10.92</v>
      </c>
    </row>
    <row r="60" spans="52:56" x14ac:dyDescent="0.25">
      <c r="AZ60" s="24">
        <v>57</v>
      </c>
      <c r="BA60" s="24">
        <v>0.20524334548751555</v>
      </c>
      <c r="BB60" s="24">
        <v>0</v>
      </c>
      <c r="BC60" s="24">
        <v>8</v>
      </c>
      <c r="BD60" s="24">
        <v>11.115</v>
      </c>
    </row>
    <row r="61" spans="52:56" x14ac:dyDescent="0.25">
      <c r="AZ61" s="24">
        <v>58</v>
      </c>
      <c r="BA61" s="24">
        <v>0.20524334548751555</v>
      </c>
      <c r="BB61" s="24">
        <v>0</v>
      </c>
      <c r="BC61" s="24">
        <v>8</v>
      </c>
      <c r="BD61" s="24">
        <v>11.31</v>
      </c>
    </row>
    <row r="62" spans="52:56" x14ac:dyDescent="0.25">
      <c r="AZ62" s="24">
        <v>59</v>
      </c>
      <c r="BA62" s="24">
        <v>0.20524334548751555</v>
      </c>
      <c r="BB62" s="24">
        <v>0</v>
      </c>
      <c r="BC62" s="24">
        <v>8</v>
      </c>
      <c r="BD62" s="24">
        <v>11.505000000000001</v>
      </c>
    </row>
    <row r="63" spans="52:56" x14ac:dyDescent="0.25">
      <c r="AZ63" s="24">
        <v>60</v>
      </c>
      <c r="BA63" s="24">
        <v>0.20524334548751555</v>
      </c>
      <c r="BB63" s="24">
        <v>0</v>
      </c>
      <c r="BC63" s="24">
        <v>8</v>
      </c>
      <c r="BD63" s="24">
        <v>11.700000000000001</v>
      </c>
    </row>
    <row r="64" spans="52:56" x14ac:dyDescent="0.25">
      <c r="AZ64" s="25">
        <v>61</v>
      </c>
      <c r="BA64" s="25">
        <v>0.20524334548751555</v>
      </c>
      <c r="BB64" s="25">
        <v>1</v>
      </c>
      <c r="BC64" s="25">
        <v>9</v>
      </c>
      <c r="BD64" s="25">
        <v>11.895</v>
      </c>
    </row>
    <row r="65" spans="52:56" x14ac:dyDescent="0.25">
      <c r="AZ65" s="25">
        <v>62</v>
      </c>
      <c r="BA65" s="25">
        <v>0.20524334548751555</v>
      </c>
      <c r="BB65" s="25">
        <v>0</v>
      </c>
      <c r="BC65" s="25">
        <v>9</v>
      </c>
      <c r="BD65" s="25">
        <v>12.09</v>
      </c>
    </row>
    <row r="66" spans="52:56" x14ac:dyDescent="0.25">
      <c r="AZ66" s="25">
        <v>63</v>
      </c>
      <c r="BA66" s="25">
        <v>0.20524334548751555</v>
      </c>
      <c r="BB66" s="25">
        <v>0</v>
      </c>
      <c r="BC66" s="25">
        <v>9</v>
      </c>
      <c r="BD66" s="25">
        <v>12.285</v>
      </c>
    </row>
    <row r="67" spans="52:56" x14ac:dyDescent="0.25">
      <c r="AZ67" s="25">
        <v>64</v>
      </c>
      <c r="BA67" s="25">
        <v>0.20524334548751555</v>
      </c>
      <c r="BB67" s="25">
        <v>0</v>
      </c>
      <c r="BC67" s="25">
        <v>9</v>
      </c>
      <c r="BD67" s="25">
        <v>12.48</v>
      </c>
    </row>
    <row r="68" spans="52:56" x14ac:dyDescent="0.25">
      <c r="AZ68" s="25">
        <v>65</v>
      </c>
      <c r="BA68" s="25">
        <v>0.20524334548751555</v>
      </c>
      <c r="BB68" s="25">
        <v>1</v>
      </c>
      <c r="BC68" s="25">
        <v>10</v>
      </c>
      <c r="BD68" s="25">
        <v>12.675000000000001</v>
      </c>
    </row>
    <row r="69" spans="52:56" x14ac:dyDescent="0.25">
      <c r="AZ69" s="25">
        <v>66</v>
      </c>
      <c r="BA69" s="25">
        <v>0.20524334548751555</v>
      </c>
      <c r="BB69" s="25">
        <v>0</v>
      </c>
      <c r="BC69" s="25">
        <v>10</v>
      </c>
      <c r="BD69" s="25">
        <v>12.870000000000001</v>
      </c>
    </row>
    <row r="70" spans="52:56" x14ac:dyDescent="0.25">
      <c r="AZ70" s="25">
        <v>67</v>
      </c>
      <c r="BA70" s="25">
        <v>0.20524334548751555</v>
      </c>
      <c r="BB70" s="25">
        <v>1</v>
      </c>
      <c r="BC70" s="25">
        <v>11</v>
      </c>
      <c r="BD70" s="25">
        <v>13.065000000000001</v>
      </c>
    </row>
    <row r="71" spans="52:56" x14ac:dyDescent="0.25">
      <c r="AZ71" s="25">
        <v>68</v>
      </c>
      <c r="BA71" s="25">
        <v>0.20524334548751555</v>
      </c>
      <c r="BB71" s="25">
        <v>0</v>
      </c>
      <c r="BC71" s="25">
        <v>11</v>
      </c>
      <c r="BD71" s="25">
        <v>13.26</v>
      </c>
    </row>
    <row r="72" spans="52:56" x14ac:dyDescent="0.25">
      <c r="AZ72" s="25">
        <v>69</v>
      </c>
      <c r="BA72" s="25">
        <v>0.20524334548751555</v>
      </c>
      <c r="BB72" s="25">
        <v>0</v>
      </c>
      <c r="BC72" s="25">
        <v>11</v>
      </c>
      <c r="BD72" s="25">
        <v>13.455</v>
      </c>
    </row>
    <row r="73" spans="52:56" x14ac:dyDescent="0.25">
      <c r="AZ73" s="25">
        <v>70</v>
      </c>
      <c r="BA73" s="25">
        <v>0.20524334548751555</v>
      </c>
      <c r="BB73" s="25">
        <v>0</v>
      </c>
      <c r="BC73" s="25">
        <v>11</v>
      </c>
      <c r="BD73" s="25">
        <v>13.65</v>
      </c>
    </row>
    <row r="74" spans="52:56" x14ac:dyDescent="0.25">
      <c r="AZ74" s="25">
        <v>71</v>
      </c>
      <c r="BA74" s="25">
        <v>0.20524334548751555</v>
      </c>
      <c r="BB74" s="25">
        <v>0</v>
      </c>
      <c r="BC74" s="25">
        <v>11</v>
      </c>
      <c r="BD74" s="25">
        <v>13.845000000000001</v>
      </c>
    </row>
    <row r="75" spans="52:56" x14ac:dyDescent="0.25">
      <c r="AZ75" s="25">
        <v>72</v>
      </c>
      <c r="BA75" s="25">
        <v>0.20524334548751555</v>
      </c>
      <c r="BB75" s="25">
        <v>0</v>
      </c>
      <c r="BC75" s="25">
        <v>11</v>
      </c>
      <c r="BD75" s="25">
        <v>14.040000000000001</v>
      </c>
    </row>
    <row r="76" spans="52:56" x14ac:dyDescent="0.25">
      <c r="AZ76" s="25">
        <v>73</v>
      </c>
      <c r="BA76" s="25">
        <v>0.20524334548751555</v>
      </c>
      <c r="BB76" s="25">
        <v>1</v>
      </c>
      <c r="BC76" s="25">
        <v>12</v>
      </c>
      <c r="BD76" s="25">
        <v>14.235000000000001</v>
      </c>
    </row>
    <row r="77" spans="52:56" x14ac:dyDescent="0.25">
      <c r="AZ77" s="25">
        <v>74</v>
      </c>
      <c r="BA77" s="25">
        <v>0.20524334548751555</v>
      </c>
      <c r="BB77" s="25">
        <v>1</v>
      </c>
      <c r="BC77" s="25">
        <v>13</v>
      </c>
      <c r="BD77" s="25">
        <v>14.43</v>
      </c>
    </row>
    <row r="78" spans="52:56" x14ac:dyDescent="0.25">
      <c r="AZ78" s="25">
        <v>75</v>
      </c>
      <c r="BA78" s="25">
        <v>0.20524334548751555</v>
      </c>
      <c r="BB78" s="25">
        <v>1</v>
      </c>
      <c r="BC78" s="25">
        <v>14</v>
      </c>
      <c r="BD78" s="25">
        <v>14.625</v>
      </c>
    </row>
    <row r="79" spans="52:56" x14ac:dyDescent="0.25">
      <c r="AZ79" s="25">
        <v>76</v>
      </c>
      <c r="BA79" s="25">
        <v>0.20524334548751555</v>
      </c>
      <c r="BB79" s="25">
        <v>0</v>
      </c>
      <c r="BC79" s="25">
        <v>14</v>
      </c>
      <c r="BD79" s="25">
        <v>14.82</v>
      </c>
    </row>
    <row r="80" spans="52:56" x14ac:dyDescent="0.25">
      <c r="AZ80" s="25">
        <v>77</v>
      </c>
      <c r="BA80" s="25">
        <v>0.20524334548751555</v>
      </c>
      <c r="BB80" s="25">
        <v>0</v>
      </c>
      <c r="BC80" s="25">
        <v>14</v>
      </c>
      <c r="BD80" s="25">
        <v>15.015000000000001</v>
      </c>
    </row>
    <row r="81" spans="52:56" x14ac:dyDescent="0.25">
      <c r="AZ81" s="25">
        <v>78</v>
      </c>
      <c r="BA81" s="25">
        <v>0.20524334548751555</v>
      </c>
      <c r="BB81" s="25">
        <v>0</v>
      </c>
      <c r="BC81" s="25">
        <v>14</v>
      </c>
      <c r="BD81" s="25">
        <v>15.21</v>
      </c>
    </row>
    <row r="82" spans="52:56" x14ac:dyDescent="0.25">
      <c r="AZ82" s="25">
        <v>79</v>
      </c>
      <c r="BA82" s="25">
        <v>0.20524334548751555</v>
      </c>
      <c r="BB82" s="25">
        <v>0</v>
      </c>
      <c r="BC82" s="25">
        <v>14</v>
      </c>
      <c r="BD82" s="25">
        <v>15.405000000000001</v>
      </c>
    </row>
    <row r="83" spans="52:56" x14ac:dyDescent="0.25">
      <c r="AZ83" s="25">
        <v>80</v>
      </c>
      <c r="BA83" s="25">
        <v>0.20524334548751555</v>
      </c>
      <c r="BB83" s="25">
        <v>1</v>
      </c>
      <c r="BC83" s="25">
        <v>15</v>
      </c>
      <c r="BD83" s="25">
        <v>15.600000000000001</v>
      </c>
    </row>
    <row r="84" spans="52:56" x14ac:dyDescent="0.25">
      <c r="AZ84" s="24">
        <v>81</v>
      </c>
      <c r="BA84" s="24">
        <v>0.20524334548751555</v>
      </c>
      <c r="BB84" s="24">
        <v>0</v>
      </c>
      <c r="BC84" s="24">
        <v>15</v>
      </c>
      <c r="BD84" s="24">
        <v>15.795</v>
      </c>
    </row>
    <row r="85" spans="52:56" x14ac:dyDescent="0.25">
      <c r="AZ85" s="24">
        <v>82</v>
      </c>
      <c r="BA85" s="24">
        <v>0.20524334548751555</v>
      </c>
      <c r="BB85" s="24">
        <v>0</v>
      </c>
      <c r="BC85" s="24">
        <v>15</v>
      </c>
      <c r="BD85" s="24">
        <v>15.99</v>
      </c>
    </row>
    <row r="86" spans="52:56" x14ac:dyDescent="0.25">
      <c r="AZ86" s="24">
        <v>83</v>
      </c>
      <c r="BA86" s="24">
        <v>0.20524334548751555</v>
      </c>
      <c r="BB86" s="24">
        <v>1</v>
      </c>
      <c r="BC86" s="24">
        <v>16</v>
      </c>
      <c r="BD86" s="24">
        <v>16.185000000000002</v>
      </c>
    </row>
    <row r="87" spans="52:56" x14ac:dyDescent="0.25">
      <c r="AZ87" s="24">
        <v>84</v>
      </c>
      <c r="BA87" s="24">
        <v>0.20524334548751555</v>
      </c>
      <c r="BB87" s="24">
        <v>0</v>
      </c>
      <c r="BC87" s="24">
        <v>16</v>
      </c>
      <c r="BD87" s="24">
        <v>16.38</v>
      </c>
    </row>
    <row r="88" spans="52:56" x14ac:dyDescent="0.25">
      <c r="AZ88" s="24">
        <v>85</v>
      </c>
      <c r="BA88" s="24">
        <v>0.20524334548751555</v>
      </c>
      <c r="BB88" s="24">
        <v>0</v>
      </c>
      <c r="BC88" s="24">
        <v>16</v>
      </c>
      <c r="BD88" s="24">
        <v>16.574999999999999</v>
      </c>
    </row>
    <row r="89" spans="52:56" x14ac:dyDescent="0.25">
      <c r="AZ89" s="24">
        <v>86</v>
      </c>
      <c r="BA89" s="24">
        <v>0.20524334548751555</v>
      </c>
      <c r="BB89" s="24">
        <v>0</v>
      </c>
      <c r="BC89" s="24">
        <v>16</v>
      </c>
      <c r="BD89" s="24">
        <v>16.77</v>
      </c>
    </row>
    <row r="90" spans="52:56" x14ac:dyDescent="0.25">
      <c r="AZ90" s="24">
        <v>87</v>
      </c>
      <c r="BA90" s="24">
        <v>0.20524334548751555</v>
      </c>
      <c r="BB90" s="24">
        <v>0</v>
      </c>
      <c r="BC90" s="24">
        <v>16</v>
      </c>
      <c r="BD90" s="24">
        <v>16.965</v>
      </c>
    </row>
    <row r="91" spans="52:56" x14ac:dyDescent="0.25">
      <c r="AZ91" s="24">
        <v>88</v>
      </c>
      <c r="BA91" s="24">
        <v>0.20524334548751555</v>
      </c>
      <c r="BB91" s="24">
        <v>0</v>
      </c>
      <c r="BC91" s="24">
        <v>16</v>
      </c>
      <c r="BD91" s="24">
        <v>17.16</v>
      </c>
    </row>
    <row r="92" spans="52:56" x14ac:dyDescent="0.25">
      <c r="AZ92" s="24">
        <v>89</v>
      </c>
      <c r="BA92" s="24">
        <v>0.20524334548751555</v>
      </c>
      <c r="BB92" s="24">
        <v>1</v>
      </c>
      <c r="BC92" s="24">
        <v>17</v>
      </c>
      <c r="BD92" s="24">
        <v>17.355</v>
      </c>
    </row>
    <row r="93" spans="52:56" x14ac:dyDescent="0.25">
      <c r="AZ93" s="24">
        <v>90</v>
      </c>
      <c r="BA93" s="24">
        <v>0.20524334548751555</v>
      </c>
      <c r="BB93" s="24">
        <v>0</v>
      </c>
      <c r="BC93" s="24">
        <v>17</v>
      </c>
      <c r="BD93" s="24">
        <v>17.55</v>
      </c>
    </row>
    <row r="94" spans="52:56" x14ac:dyDescent="0.25">
      <c r="AZ94" s="24">
        <v>91</v>
      </c>
      <c r="BA94" s="24">
        <v>0.20524334548751555</v>
      </c>
      <c r="BB94" s="24">
        <v>0</v>
      </c>
      <c r="BC94" s="24">
        <v>17</v>
      </c>
      <c r="BD94" s="24">
        <v>17.745000000000001</v>
      </c>
    </row>
    <row r="95" spans="52:56" x14ac:dyDescent="0.25">
      <c r="AZ95" s="24">
        <v>92</v>
      </c>
      <c r="BA95" s="24">
        <v>0.20524334548751555</v>
      </c>
      <c r="BB95" s="24">
        <v>0</v>
      </c>
      <c r="BC95" s="24">
        <v>17</v>
      </c>
      <c r="BD95" s="24">
        <v>17.940000000000001</v>
      </c>
    </row>
    <row r="96" spans="52:56" x14ac:dyDescent="0.25">
      <c r="AZ96" s="24">
        <v>93</v>
      </c>
      <c r="BA96" s="24">
        <v>0.20524334548751555</v>
      </c>
      <c r="BB96" s="24">
        <v>0</v>
      </c>
      <c r="BC96" s="24">
        <v>17</v>
      </c>
      <c r="BD96" s="24">
        <v>18.135000000000002</v>
      </c>
    </row>
    <row r="97" spans="52:56" x14ac:dyDescent="0.25">
      <c r="AZ97" s="24">
        <v>94</v>
      </c>
      <c r="BA97" s="24">
        <v>0.20524334548751555</v>
      </c>
      <c r="BB97" s="24">
        <v>0</v>
      </c>
      <c r="BC97" s="24">
        <v>17</v>
      </c>
      <c r="BD97" s="24">
        <v>18.330000000000002</v>
      </c>
    </row>
    <row r="98" spans="52:56" x14ac:dyDescent="0.25">
      <c r="AZ98" s="24">
        <v>95</v>
      </c>
      <c r="BA98" s="24">
        <v>0.20524334548751555</v>
      </c>
      <c r="BB98" s="24">
        <v>0</v>
      </c>
      <c r="BC98" s="24">
        <v>17</v>
      </c>
      <c r="BD98" s="24">
        <v>18.525000000000002</v>
      </c>
    </row>
    <row r="99" spans="52:56" x14ac:dyDescent="0.25">
      <c r="AZ99" s="24">
        <v>96</v>
      </c>
      <c r="BA99" s="24">
        <v>0.20524334548751555</v>
      </c>
      <c r="BB99" s="24">
        <v>0</v>
      </c>
      <c r="BC99" s="24">
        <v>17</v>
      </c>
      <c r="BD99" s="24">
        <v>18.72</v>
      </c>
    </row>
    <row r="100" spans="52:56" x14ac:dyDescent="0.25">
      <c r="AZ100" s="24">
        <v>97</v>
      </c>
      <c r="BA100" s="24">
        <v>0.20524334548751555</v>
      </c>
      <c r="BB100" s="24">
        <v>0</v>
      </c>
      <c r="BC100" s="24">
        <v>17</v>
      </c>
      <c r="BD100" s="24">
        <v>18.914999999999999</v>
      </c>
    </row>
    <row r="101" spans="52:56" x14ac:dyDescent="0.25">
      <c r="AZ101" s="24">
        <v>98</v>
      </c>
      <c r="BA101" s="24">
        <v>0.20524334548751555</v>
      </c>
      <c r="BB101" s="24">
        <v>0</v>
      </c>
      <c r="BC101" s="24">
        <v>17</v>
      </c>
      <c r="BD101" s="24">
        <v>19.11</v>
      </c>
    </row>
    <row r="102" spans="52:56" x14ac:dyDescent="0.25">
      <c r="AZ102" s="24">
        <v>99</v>
      </c>
      <c r="BA102" s="24">
        <v>0.20524334548751555</v>
      </c>
      <c r="BB102" s="24">
        <v>0</v>
      </c>
      <c r="BC102" s="24">
        <v>17</v>
      </c>
      <c r="BD102" s="24">
        <v>19.305</v>
      </c>
    </row>
    <row r="103" spans="52:56" x14ac:dyDescent="0.25">
      <c r="AZ103" s="24">
        <v>100</v>
      </c>
      <c r="BA103" s="24">
        <v>0.20524334548751555</v>
      </c>
      <c r="BB103" s="24">
        <v>0</v>
      </c>
      <c r="BC103" s="24">
        <v>17</v>
      </c>
      <c r="BD103" s="24">
        <v>19.5</v>
      </c>
    </row>
    <row r="104" spans="52:56" x14ac:dyDescent="0.25">
      <c r="AZ104" s="25">
        <v>101</v>
      </c>
      <c r="BA104" s="25">
        <v>0.20524334548751555</v>
      </c>
      <c r="BB104" s="25">
        <v>1</v>
      </c>
      <c r="BC104" s="25">
        <v>18</v>
      </c>
      <c r="BD104" s="25">
        <v>19.695</v>
      </c>
    </row>
    <row r="105" spans="52:56" x14ac:dyDescent="0.25">
      <c r="AZ105" s="25">
        <v>102</v>
      </c>
      <c r="BA105" s="25">
        <v>0.20524334548751555</v>
      </c>
      <c r="BB105" s="25">
        <v>0</v>
      </c>
      <c r="BC105" s="25">
        <v>18</v>
      </c>
      <c r="BD105" s="25">
        <v>19.89</v>
      </c>
    </row>
    <row r="106" spans="52:56" x14ac:dyDescent="0.25">
      <c r="AZ106" s="25">
        <v>103</v>
      </c>
      <c r="BA106" s="25">
        <v>0.20524334548751555</v>
      </c>
      <c r="BB106" s="25">
        <v>0</v>
      </c>
      <c r="BC106" s="25">
        <v>18</v>
      </c>
      <c r="BD106" s="25">
        <v>20.085000000000001</v>
      </c>
    </row>
    <row r="107" spans="52:56" x14ac:dyDescent="0.25">
      <c r="AZ107" s="25">
        <v>104</v>
      </c>
      <c r="BA107" s="25">
        <v>0.20524334548751555</v>
      </c>
      <c r="BB107" s="25">
        <v>1</v>
      </c>
      <c r="BC107" s="25">
        <v>19</v>
      </c>
      <c r="BD107" s="25">
        <v>20.28</v>
      </c>
    </row>
    <row r="108" spans="52:56" x14ac:dyDescent="0.25">
      <c r="AZ108" s="25">
        <v>105</v>
      </c>
      <c r="BA108" s="25">
        <v>0.20524334548751555</v>
      </c>
      <c r="BB108" s="25">
        <v>0</v>
      </c>
      <c r="BC108" s="25">
        <v>19</v>
      </c>
      <c r="BD108" s="25">
        <v>20.475000000000001</v>
      </c>
    </row>
    <row r="109" spans="52:56" x14ac:dyDescent="0.25">
      <c r="AZ109" s="25">
        <v>106</v>
      </c>
      <c r="BA109" s="25">
        <v>0.20524334548751555</v>
      </c>
      <c r="BB109" s="25">
        <v>0</v>
      </c>
      <c r="BC109" s="25">
        <v>19</v>
      </c>
      <c r="BD109" s="25">
        <v>20.67</v>
      </c>
    </row>
    <row r="110" spans="52:56" x14ac:dyDescent="0.25">
      <c r="AZ110" s="25">
        <v>107</v>
      </c>
      <c r="BA110" s="25">
        <v>0.20524334548751555</v>
      </c>
      <c r="BB110" s="25">
        <v>0</v>
      </c>
      <c r="BC110" s="25">
        <v>19</v>
      </c>
      <c r="BD110" s="25">
        <v>20.865000000000002</v>
      </c>
    </row>
    <row r="111" spans="52:56" x14ac:dyDescent="0.25">
      <c r="AZ111" s="25">
        <v>108</v>
      </c>
      <c r="BA111" s="25">
        <v>0.20524334548751555</v>
      </c>
      <c r="BB111" s="25">
        <v>1</v>
      </c>
      <c r="BC111" s="25">
        <v>20</v>
      </c>
      <c r="BD111" s="25">
        <v>21.060000000000002</v>
      </c>
    </row>
    <row r="112" spans="52:56" x14ac:dyDescent="0.25">
      <c r="AZ112" s="25">
        <v>109</v>
      </c>
      <c r="BA112" s="25">
        <v>0.20524334548751555</v>
      </c>
      <c r="BB112" s="25">
        <v>0</v>
      </c>
      <c r="BC112" s="25">
        <v>20</v>
      </c>
      <c r="BD112" s="25">
        <v>21.254999999999999</v>
      </c>
    </row>
    <row r="113" spans="52:56" x14ac:dyDescent="0.25">
      <c r="AZ113" s="25">
        <v>110</v>
      </c>
      <c r="BA113" s="25">
        <v>0.20524334548751555</v>
      </c>
      <c r="BB113" s="25">
        <v>1</v>
      </c>
      <c r="BC113" s="25">
        <v>21</v>
      </c>
      <c r="BD113" s="25">
        <v>21.45</v>
      </c>
    </row>
    <row r="114" spans="52:56" x14ac:dyDescent="0.25">
      <c r="AZ114" s="25">
        <v>111</v>
      </c>
      <c r="BA114" s="25">
        <v>0.20524334548751555</v>
      </c>
      <c r="BB114" s="25">
        <v>0</v>
      </c>
      <c r="BC114" s="25">
        <v>21</v>
      </c>
      <c r="BD114" s="25">
        <v>21.645</v>
      </c>
    </row>
    <row r="115" spans="52:56" x14ac:dyDescent="0.25">
      <c r="AZ115" s="25">
        <v>112</v>
      </c>
      <c r="BA115" s="25">
        <v>0.20524334548751555</v>
      </c>
      <c r="BB115" s="25">
        <v>0</v>
      </c>
      <c r="BC115" s="25">
        <v>21</v>
      </c>
      <c r="BD115" s="25">
        <v>21.84</v>
      </c>
    </row>
    <row r="116" spans="52:56" x14ac:dyDescent="0.25">
      <c r="AZ116" s="25">
        <v>113</v>
      </c>
      <c r="BA116" s="25">
        <v>0.20524334548751555</v>
      </c>
      <c r="BB116" s="25">
        <v>0</v>
      </c>
      <c r="BC116" s="25">
        <v>21</v>
      </c>
      <c r="BD116" s="25">
        <v>22.035</v>
      </c>
    </row>
    <row r="117" spans="52:56" x14ac:dyDescent="0.25">
      <c r="AZ117" s="25">
        <v>114</v>
      </c>
      <c r="BA117" s="25">
        <v>0.20524334548751555</v>
      </c>
      <c r="BB117" s="25">
        <v>0</v>
      </c>
      <c r="BC117" s="25">
        <v>21</v>
      </c>
      <c r="BD117" s="25">
        <v>22.23</v>
      </c>
    </row>
    <row r="118" spans="52:56" x14ac:dyDescent="0.25">
      <c r="AZ118" s="25">
        <v>115</v>
      </c>
      <c r="BA118" s="25">
        <v>0.20524334548751555</v>
      </c>
      <c r="BB118" s="25">
        <v>0</v>
      </c>
      <c r="BC118" s="25">
        <v>21</v>
      </c>
      <c r="BD118" s="25">
        <v>22.425000000000001</v>
      </c>
    </row>
    <row r="119" spans="52:56" x14ac:dyDescent="0.25">
      <c r="AZ119" s="25">
        <v>116</v>
      </c>
      <c r="BA119" s="25">
        <v>0.20524334548751555</v>
      </c>
      <c r="BB119" s="25">
        <v>0</v>
      </c>
      <c r="BC119" s="25">
        <v>21</v>
      </c>
      <c r="BD119" s="25">
        <v>22.62</v>
      </c>
    </row>
    <row r="120" spans="52:56" x14ac:dyDescent="0.25">
      <c r="AZ120" s="25">
        <v>117</v>
      </c>
      <c r="BA120" s="25">
        <v>0.20524334548751555</v>
      </c>
      <c r="BB120" s="25">
        <v>0</v>
      </c>
      <c r="BC120" s="25">
        <v>21</v>
      </c>
      <c r="BD120" s="25">
        <v>22.815000000000001</v>
      </c>
    </row>
    <row r="121" spans="52:56" x14ac:dyDescent="0.25">
      <c r="AZ121" s="25">
        <v>118</v>
      </c>
      <c r="BA121" s="25">
        <v>0.20524334548751555</v>
      </c>
      <c r="BB121" s="25">
        <v>1</v>
      </c>
      <c r="BC121" s="25">
        <v>22</v>
      </c>
      <c r="BD121" s="25">
        <v>23.01</v>
      </c>
    </row>
    <row r="122" spans="52:56" x14ac:dyDescent="0.25">
      <c r="AZ122" s="25">
        <v>119</v>
      </c>
      <c r="BA122" s="25">
        <v>0.20524334548751555</v>
      </c>
      <c r="BB122" s="25">
        <v>0</v>
      </c>
      <c r="BC122" s="25">
        <v>22</v>
      </c>
      <c r="BD122" s="25">
        <v>23.205000000000002</v>
      </c>
    </row>
    <row r="123" spans="52:56" x14ac:dyDescent="0.25">
      <c r="AZ123" s="25">
        <v>120</v>
      </c>
      <c r="BA123" s="25">
        <v>0.20524334548751555</v>
      </c>
      <c r="BB123" s="25">
        <v>0</v>
      </c>
      <c r="BC123" s="25">
        <v>22</v>
      </c>
      <c r="BD123" s="25">
        <v>23.400000000000002</v>
      </c>
    </row>
    <row r="124" spans="52:56" x14ac:dyDescent="0.25">
      <c r="AZ124" s="24">
        <v>121</v>
      </c>
      <c r="BA124" s="24">
        <v>0.20524334548751555</v>
      </c>
      <c r="BB124" s="24">
        <v>0</v>
      </c>
      <c r="BC124" s="24">
        <v>22</v>
      </c>
      <c r="BD124" s="24">
        <v>23.595000000000002</v>
      </c>
    </row>
    <row r="125" spans="52:56" x14ac:dyDescent="0.25">
      <c r="AZ125" s="24">
        <v>122</v>
      </c>
      <c r="BA125" s="24">
        <v>0.20524334548751555</v>
      </c>
      <c r="BB125" s="24">
        <v>0</v>
      </c>
      <c r="BC125" s="24">
        <v>22</v>
      </c>
      <c r="BD125" s="24">
        <v>23.79</v>
      </c>
    </row>
    <row r="126" spans="52:56" x14ac:dyDescent="0.25">
      <c r="AZ126" s="24">
        <v>123</v>
      </c>
      <c r="BA126" s="24">
        <v>0.20524334548751555</v>
      </c>
      <c r="BB126" s="24">
        <v>1</v>
      </c>
      <c r="BC126" s="24">
        <v>23</v>
      </c>
      <c r="BD126" s="24">
        <v>23.984999999999999</v>
      </c>
    </row>
    <row r="127" spans="52:56" x14ac:dyDescent="0.25">
      <c r="AZ127" s="24">
        <v>124</v>
      </c>
      <c r="BA127" s="24">
        <v>0.20524334548751555</v>
      </c>
      <c r="BB127" s="24">
        <v>1</v>
      </c>
      <c r="BC127" s="24">
        <v>24</v>
      </c>
      <c r="BD127" s="24">
        <v>24.18</v>
      </c>
    </row>
    <row r="128" spans="52:56" x14ac:dyDescent="0.25">
      <c r="AZ128" s="24">
        <v>125</v>
      </c>
      <c r="BA128" s="24">
        <v>0.20524334548751555</v>
      </c>
      <c r="BB128" s="24">
        <v>0</v>
      </c>
      <c r="BC128" s="24">
        <v>24</v>
      </c>
      <c r="BD128" s="24">
        <v>24.375</v>
      </c>
    </row>
    <row r="129" spans="52:56" x14ac:dyDescent="0.25">
      <c r="AZ129" s="24">
        <v>126</v>
      </c>
      <c r="BA129" s="24">
        <v>0.20524334548751555</v>
      </c>
      <c r="BB129" s="24">
        <v>0</v>
      </c>
      <c r="BC129" s="24">
        <v>24</v>
      </c>
      <c r="BD129" s="24">
        <v>24.57</v>
      </c>
    </row>
    <row r="130" spans="52:56" x14ac:dyDescent="0.25">
      <c r="AZ130" s="24">
        <v>127</v>
      </c>
      <c r="BA130" s="24">
        <v>0.20524334548751555</v>
      </c>
      <c r="BB130" s="24">
        <v>0</v>
      </c>
      <c r="BC130" s="24">
        <v>24</v>
      </c>
      <c r="BD130" s="24">
        <v>24.765000000000001</v>
      </c>
    </row>
    <row r="131" spans="52:56" x14ac:dyDescent="0.25">
      <c r="AZ131" s="24">
        <v>128</v>
      </c>
      <c r="BA131" s="24">
        <v>0.20524334548751555</v>
      </c>
      <c r="BB131" s="24">
        <v>0</v>
      </c>
      <c r="BC131" s="24">
        <v>24</v>
      </c>
      <c r="BD131" s="24">
        <v>24.96</v>
      </c>
    </row>
    <row r="132" spans="52:56" x14ac:dyDescent="0.25">
      <c r="AZ132" s="24">
        <v>129</v>
      </c>
      <c r="BA132" s="24">
        <v>0.20524334548751555</v>
      </c>
      <c r="BB132" s="24">
        <v>0</v>
      </c>
      <c r="BC132" s="24">
        <v>24</v>
      </c>
      <c r="BD132" s="24">
        <v>25.155000000000001</v>
      </c>
    </row>
    <row r="133" spans="52:56" x14ac:dyDescent="0.25">
      <c r="AZ133" s="24">
        <v>130</v>
      </c>
      <c r="BA133" s="24">
        <v>0.20524334548751555</v>
      </c>
      <c r="BB133" s="24">
        <v>0</v>
      </c>
      <c r="BC133" s="24">
        <v>24</v>
      </c>
      <c r="BD133" s="24">
        <v>25.35</v>
      </c>
    </row>
    <row r="134" spans="52:56" x14ac:dyDescent="0.25">
      <c r="AZ134" s="24">
        <v>131</v>
      </c>
      <c r="BA134" s="24">
        <v>0.20524334548751555</v>
      </c>
      <c r="BB134" s="24">
        <v>0</v>
      </c>
      <c r="BC134" s="24">
        <v>24</v>
      </c>
      <c r="BD134" s="24">
        <v>25.545000000000002</v>
      </c>
    </row>
    <row r="135" spans="52:56" x14ac:dyDescent="0.25">
      <c r="AZ135" s="24">
        <v>132</v>
      </c>
      <c r="BA135" s="24">
        <v>0.20524334548751555</v>
      </c>
      <c r="BB135" s="24">
        <v>0</v>
      </c>
      <c r="BC135" s="24">
        <v>24</v>
      </c>
      <c r="BD135" s="24">
        <v>25.740000000000002</v>
      </c>
    </row>
    <row r="136" spans="52:56" x14ac:dyDescent="0.25">
      <c r="AZ136" s="24">
        <v>133</v>
      </c>
      <c r="BA136" s="24">
        <v>0.20524334548751555</v>
      </c>
      <c r="BB136" s="24">
        <v>0</v>
      </c>
      <c r="BC136" s="24">
        <v>24</v>
      </c>
      <c r="BD136" s="24">
        <v>25.935000000000002</v>
      </c>
    </row>
    <row r="137" spans="52:56" x14ac:dyDescent="0.25">
      <c r="AZ137" s="24">
        <v>134</v>
      </c>
      <c r="BA137" s="24">
        <v>0.20524334548751555</v>
      </c>
      <c r="BB137" s="24">
        <v>0</v>
      </c>
      <c r="BC137" s="24">
        <v>24</v>
      </c>
      <c r="BD137" s="24">
        <v>26.130000000000003</v>
      </c>
    </row>
    <row r="138" spans="52:56" x14ac:dyDescent="0.25">
      <c r="AZ138" s="24">
        <v>135</v>
      </c>
      <c r="BA138" s="24">
        <v>0.20524334548751555</v>
      </c>
      <c r="BB138" s="24">
        <v>1</v>
      </c>
      <c r="BC138" s="24">
        <v>25</v>
      </c>
      <c r="BD138" s="24">
        <v>26.324999999999999</v>
      </c>
    </row>
    <row r="139" spans="52:56" x14ac:dyDescent="0.25">
      <c r="AZ139" s="24">
        <v>136</v>
      </c>
      <c r="BA139" s="24">
        <v>0.20524334548751555</v>
      </c>
      <c r="BB139" s="24">
        <v>0</v>
      </c>
      <c r="BC139" s="24">
        <v>25</v>
      </c>
      <c r="BD139" s="24">
        <v>26.52</v>
      </c>
    </row>
    <row r="140" spans="52:56" x14ac:dyDescent="0.25">
      <c r="AZ140" s="24">
        <v>137</v>
      </c>
      <c r="BA140" s="24">
        <v>0.20524334548751555</v>
      </c>
      <c r="BB140" s="24">
        <v>0</v>
      </c>
      <c r="BC140" s="24">
        <v>25</v>
      </c>
      <c r="BD140" s="24">
        <v>26.715</v>
      </c>
    </row>
    <row r="141" spans="52:56" x14ac:dyDescent="0.25">
      <c r="AZ141" s="24">
        <v>138</v>
      </c>
      <c r="BA141" s="24">
        <v>0.20524334548751555</v>
      </c>
      <c r="BB141" s="24">
        <v>0</v>
      </c>
      <c r="BC141" s="24">
        <v>25</v>
      </c>
      <c r="BD141" s="24">
        <v>26.91</v>
      </c>
    </row>
    <row r="142" spans="52:56" x14ac:dyDescent="0.25">
      <c r="AZ142" s="24">
        <v>139</v>
      </c>
      <c r="BA142" s="24">
        <v>0.20524334548751555</v>
      </c>
      <c r="BB142" s="24">
        <v>1</v>
      </c>
      <c r="BC142" s="24">
        <v>26</v>
      </c>
      <c r="BD142" s="24">
        <v>27.105</v>
      </c>
    </row>
    <row r="143" spans="52:56" x14ac:dyDescent="0.25">
      <c r="AZ143" s="24">
        <v>140</v>
      </c>
      <c r="BA143" s="24">
        <v>0.20524334548751555</v>
      </c>
      <c r="BB143" s="24">
        <v>0</v>
      </c>
      <c r="BC143" s="24">
        <v>26</v>
      </c>
      <c r="BD143" s="24">
        <v>27.3</v>
      </c>
    </row>
    <row r="144" spans="52:56" x14ac:dyDescent="0.25">
      <c r="AZ144" s="25">
        <v>141</v>
      </c>
      <c r="BA144" s="25">
        <v>0.20524334548751555</v>
      </c>
      <c r="BB144" s="25">
        <v>1</v>
      </c>
      <c r="BC144" s="25">
        <v>27</v>
      </c>
      <c r="BD144" s="25">
        <v>27.495000000000001</v>
      </c>
    </row>
    <row r="145" spans="52:56" x14ac:dyDescent="0.25">
      <c r="AZ145" s="25">
        <v>142</v>
      </c>
      <c r="BA145" s="25">
        <v>0.20524334548751555</v>
      </c>
      <c r="BB145" s="25">
        <v>1</v>
      </c>
      <c r="BC145" s="25">
        <v>28</v>
      </c>
      <c r="BD145" s="25">
        <v>27.69</v>
      </c>
    </row>
    <row r="146" spans="52:56" x14ac:dyDescent="0.25">
      <c r="AZ146" s="25">
        <v>143</v>
      </c>
      <c r="BA146" s="25">
        <v>0.20524334548751555</v>
      </c>
      <c r="BB146" s="25">
        <v>0</v>
      </c>
      <c r="BC146" s="25">
        <v>28</v>
      </c>
      <c r="BD146" s="25">
        <v>27.885000000000002</v>
      </c>
    </row>
    <row r="147" spans="52:56" x14ac:dyDescent="0.25">
      <c r="AZ147" s="25">
        <v>144</v>
      </c>
      <c r="BA147" s="25">
        <v>0.20524334548751555</v>
      </c>
      <c r="BB147" s="25">
        <v>0</v>
      </c>
      <c r="BC147" s="25">
        <v>28</v>
      </c>
      <c r="BD147" s="25">
        <v>28.080000000000002</v>
      </c>
    </row>
    <row r="148" spans="52:56" x14ac:dyDescent="0.25">
      <c r="AZ148" s="25">
        <v>145</v>
      </c>
      <c r="BA148" s="25">
        <v>0.20524334548751555</v>
      </c>
      <c r="BB148" s="25">
        <v>0</v>
      </c>
      <c r="BC148" s="25">
        <v>28</v>
      </c>
      <c r="BD148" s="25">
        <v>28.275000000000002</v>
      </c>
    </row>
    <row r="149" spans="52:56" x14ac:dyDescent="0.25">
      <c r="AZ149" s="25">
        <v>146</v>
      </c>
      <c r="BA149" s="25">
        <v>0.20524334548751555</v>
      </c>
      <c r="BB149" s="25">
        <v>1</v>
      </c>
      <c r="BC149" s="25">
        <v>29</v>
      </c>
      <c r="BD149" s="25">
        <v>28.470000000000002</v>
      </c>
    </row>
    <row r="150" spans="52:56" x14ac:dyDescent="0.25">
      <c r="AZ150" s="25">
        <v>147</v>
      </c>
      <c r="BA150" s="25">
        <v>0.20524334548751555</v>
      </c>
      <c r="BB150" s="25">
        <v>0</v>
      </c>
      <c r="BC150" s="25">
        <v>29</v>
      </c>
      <c r="BD150" s="25">
        <v>28.665000000000003</v>
      </c>
    </row>
    <row r="151" spans="52:56" x14ac:dyDescent="0.25">
      <c r="AZ151" s="25">
        <v>148</v>
      </c>
      <c r="BA151" s="25">
        <v>0.20524334548751555</v>
      </c>
      <c r="BB151" s="25">
        <v>0</v>
      </c>
      <c r="BC151" s="25">
        <v>29</v>
      </c>
      <c r="BD151" s="25">
        <v>28.86</v>
      </c>
    </row>
    <row r="152" spans="52:56" x14ac:dyDescent="0.25">
      <c r="AZ152" s="25">
        <v>149</v>
      </c>
      <c r="BA152" s="25">
        <v>0.20524334548751555</v>
      </c>
      <c r="BB152" s="25">
        <v>1</v>
      </c>
      <c r="BC152" s="25">
        <v>30</v>
      </c>
      <c r="BD152" s="25">
        <v>29.055</v>
      </c>
    </row>
    <row r="153" spans="52:56" x14ac:dyDescent="0.25">
      <c r="AZ153" s="25">
        <v>150</v>
      </c>
      <c r="BA153" s="25">
        <v>0.20524334548751555</v>
      </c>
      <c r="BB153" s="25">
        <v>0</v>
      </c>
      <c r="BC153" s="25">
        <v>30</v>
      </c>
      <c r="BD153" s="25">
        <v>29.25</v>
      </c>
    </row>
    <row r="154" spans="52:56" x14ac:dyDescent="0.25">
      <c r="AZ154" s="25">
        <v>151</v>
      </c>
      <c r="BA154" s="25">
        <v>0.20524334548751555</v>
      </c>
      <c r="BB154" s="25">
        <v>0</v>
      </c>
      <c r="BC154" s="25">
        <v>30</v>
      </c>
      <c r="BD154" s="25">
        <v>29.445</v>
      </c>
    </row>
    <row r="155" spans="52:56" x14ac:dyDescent="0.25">
      <c r="AZ155" s="25">
        <v>152</v>
      </c>
      <c r="BA155" s="25">
        <v>0.20524334548751555</v>
      </c>
      <c r="BB155" s="25">
        <v>0</v>
      </c>
      <c r="BC155" s="25">
        <v>30</v>
      </c>
      <c r="BD155" s="25">
        <v>29.64</v>
      </c>
    </row>
    <row r="156" spans="52:56" x14ac:dyDescent="0.25">
      <c r="AZ156" s="25">
        <v>153</v>
      </c>
      <c r="BA156" s="25">
        <v>0.20524334548751555</v>
      </c>
      <c r="BB156" s="25">
        <v>1</v>
      </c>
      <c r="BC156" s="25">
        <v>31</v>
      </c>
      <c r="BD156" s="25">
        <v>29.835000000000001</v>
      </c>
    </row>
    <row r="157" spans="52:56" x14ac:dyDescent="0.25">
      <c r="AZ157" s="25">
        <v>154</v>
      </c>
      <c r="BA157" s="25">
        <v>0.20524334548751555</v>
      </c>
      <c r="BB157" s="25">
        <v>0</v>
      </c>
      <c r="BC157" s="25">
        <v>31</v>
      </c>
      <c r="BD157" s="25">
        <v>30.03</v>
      </c>
    </row>
    <row r="158" spans="52:56" x14ac:dyDescent="0.25">
      <c r="AZ158" s="25">
        <v>155</v>
      </c>
      <c r="BA158" s="25">
        <v>0.20524334548751555</v>
      </c>
      <c r="BB158" s="25">
        <v>0</v>
      </c>
      <c r="BC158" s="25">
        <v>31</v>
      </c>
      <c r="BD158" s="25">
        <v>30.225000000000001</v>
      </c>
    </row>
    <row r="159" spans="52:56" x14ac:dyDescent="0.25">
      <c r="AZ159" s="25">
        <v>156</v>
      </c>
      <c r="BA159" s="25">
        <v>0.20524334548751555</v>
      </c>
      <c r="BB159" s="25">
        <v>0</v>
      </c>
      <c r="BC159" s="25">
        <v>31</v>
      </c>
      <c r="BD159" s="25">
        <v>30.42</v>
      </c>
    </row>
    <row r="160" spans="52:56" x14ac:dyDescent="0.25">
      <c r="AZ160" s="25">
        <v>157</v>
      </c>
      <c r="BA160" s="25">
        <v>0.20524334548751555</v>
      </c>
      <c r="BB160" s="25">
        <v>0</v>
      </c>
      <c r="BC160" s="25">
        <v>31</v>
      </c>
      <c r="BD160" s="25">
        <v>30.615000000000002</v>
      </c>
    </row>
    <row r="161" spans="52:56" x14ac:dyDescent="0.25">
      <c r="AZ161" s="25">
        <v>158</v>
      </c>
      <c r="BA161" s="25">
        <v>0.20524334548751555</v>
      </c>
      <c r="BB161" s="25">
        <v>0</v>
      </c>
      <c r="BC161" s="25">
        <v>31</v>
      </c>
      <c r="BD161" s="25">
        <v>30.810000000000002</v>
      </c>
    </row>
    <row r="162" spans="52:56" x14ac:dyDescent="0.25">
      <c r="AZ162" s="25">
        <v>159</v>
      </c>
      <c r="BA162" s="25">
        <v>0.20524334548751555</v>
      </c>
      <c r="BB162" s="25">
        <v>0</v>
      </c>
      <c r="BC162" s="25">
        <v>31</v>
      </c>
      <c r="BD162" s="25">
        <v>31.005000000000003</v>
      </c>
    </row>
    <row r="163" spans="52:56" x14ac:dyDescent="0.25">
      <c r="AZ163" s="25">
        <v>160</v>
      </c>
      <c r="BA163" s="25">
        <v>0.20524334548751555</v>
      </c>
      <c r="BB163" s="25">
        <v>1</v>
      </c>
      <c r="BC163" s="25">
        <v>32</v>
      </c>
      <c r="BD163" s="25">
        <v>31.200000000000003</v>
      </c>
    </row>
    <row r="164" spans="52:56" x14ac:dyDescent="0.25">
      <c r="AZ164" s="24">
        <v>161</v>
      </c>
      <c r="BA164" s="24">
        <v>0.16903397659089944</v>
      </c>
      <c r="BB164" s="24">
        <v>0</v>
      </c>
      <c r="BC164" s="24">
        <v>32</v>
      </c>
      <c r="BD164" s="24">
        <v>31.395</v>
      </c>
    </row>
    <row r="165" spans="52:56" x14ac:dyDescent="0.25">
      <c r="AZ165" s="24">
        <v>162</v>
      </c>
      <c r="BA165" s="24">
        <v>0.16903397659089944</v>
      </c>
      <c r="BB165" s="24">
        <v>0</v>
      </c>
      <c r="BC165" s="24">
        <v>32</v>
      </c>
      <c r="BD165" s="24">
        <v>31.59</v>
      </c>
    </row>
    <row r="166" spans="52:56" x14ac:dyDescent="0.25">
      <c r="AZ166" s="24">
        <v>163</v>
      </c>
      <c r="BA166" s="24">
        <v>0.16903397659089944</v>
      </c>
      <c r="BB166" s="24">
        <v>0</v>
      </c>
      <c r="BC166" s="24">
        <v>32</v>
      </c>
      <c r="BD166" s="24">
        <v>31.785</v>
      </c>
    </row>
    <row r="167" spans="52:56" x14ac:dyDescent="0.25">
      <c r="AZ167" s="24">
        <v>164</v>
      </c>
      <c r="BA167" s="24">
        <v>0.16903397659089944</v>
      </c>
      <c r="BB167" s="24">
        <v>0</v>
      </c>
      <c r="BC167" s="24">
        <v>32</v>
      </c>
      <c r="BD167" s="24">
        <v>31.98</v>
      </c>
    </row>
    <row r="168" spans="52:56" x14ac:dyDescent="0.25">
      <c r="AZ168" s="24">
        <v>165</v>
      </c>
      <c r="BA168" s="24">
        <v>0.16903397659089944</v>
      </c>
      <c r="BB168" s="24">
        <v>0</v>
      </c>
      <c r="BC168" s="24">
        <v>32</v>
      </c>
      <c r="BD168" s="24">
        <v>32.175000000000004</v>
      </c>
    </row>
    <row r="169" spans="52:56" x14ac:dyDescent="0.25">
      <c r="AZ169" s="24">
        <v>166</v>
      </c>
      <c r="BA169" s="24">
        <v>0.16903397659089944</v>
      </c>
      <c r="BB169" s="24">
        <v>0</v>
      </c>
      <c r="BC169" s="24">
        <v>32</v>
      </c>
      <c r="BD169" s="24">
        <v>32.370000000000005</v>
      </c>
    </row>
    <row r="170" spans="52:56" x14ac:dyDescent="0.25">
      <c r="AZ170" s="24">
        <v>167</v>
      </c>
      <c r="BA170" s="24">
        <v>0.16903397659089944</v>
      </c>
      <c r="BB170" s="24">
        <v>1</v>
      </c>
      <c r="BC170" s="24">
        <v>33</v>
      </c>
      <c r="BD170" s="24">
        <v>32.564999999999998</v>
      </c>
    </row>
    <row r="171" spans="52:56" x14ac:dyDescent="0.25">
      <c r="AZ171" s="24">
        <v>168</v>
      </c>
      <c r="BA171" s="24">
        <v>0.16903397659089944</v>
      </c>
      <c r="BB171" s="24">
        <v>1</v>
      </c>
      <c r="BC171" s="24">
        <v>34</v>
      </c>
      <c r="BD171" s="24">
        <v>32.76</v>
      </c>
    </row>
    <row r="172" spans="52:56" x14ac:dyDescent="0.25">
      <c r="AZ172" s="24">
        <v>169</v>
      </c>
      <c r="BA172" s="24">
        <v>0.16903397659089944</v>
      </c>
      <c r="BB172" s="24">
        <v>0</v>
      </c>
      <c r="BC172" s="24">
        <v>34</v>
      </c>
      <c r="BD172" s="24">
        <v>32.954999999999998</v>
      </c>
    </row>
    <row r="173" spans="52:56" x14ac:dyDescent="0.25">
      <c r="AZ173" s="24">
        <v>170</v>
      </c>
      <c r="BA173" s="24">
        <v>0.16903397659089944</v>
      </c>
      <c r="BB173" s="24">
        <v>1</v>
      </c>
      <c r="BC173" s="24">
        <v>35</v>
      </c>
      <c r="BD173" s="24">
        <v>33.15</v>
      </c>
    </row>
    <row r="174" spans="52:56" x14ac:dyDescent="0.25">
      <c r="AZ174" s="24">
        <v>171</v>
      </c>
      <c r="BA174" s="24">
        <v>0.16903397659089944</v>
      </c>
      <c r="BB174" s="24">
        <v>0</v>
      </c>
      <c r="BC174" s="24">
        <v>35</v>
      </c>
      <c r="BD174" s="24">
        <v>33.344999999999999</v>
      </c>
    </row>
    <row r="175" spans="52:56" x14ac:dyDescent="0.25">
      <c r="AZ175" s="24">
        <v>172</v>
      </c>
      <c r="BA175" s="24">
        <v>0.16903397659089944</v>
      </c>
      <c r="BB175" s="24">
        <v>0</v>
      </c>
      <c r="BC175" s="24">
        <v>35</v>
      </c>
      <c r="BD175" s="24">
        <v>33.54</v>
      </c>
    </row>
    <row r="176" spans="52:56" x14ac:dyDescent="0.25">
      <c r="AZ176" s="24">
        <v>173</v>
      </c>
      <c r="BA176" s="24">
        <v>0.16903397659089944</v>
      </c>
      <c r="BB176" s="24">
        <v>0</v>
      </c>
      <c r="BC176" s="24">
        <v>35</v>
      </c>
      <c r="BD176" s="24">
        <v>33.734999999999999</v>
      </c>
    </row>
    <row r="177" spans="52:56" x14ac:dyDescent="0.25">
      <c r="AZ177" s="24">
        <v>174</v>
      </c>
      <c r="BA177" s="24">
        <v>0.16903397659089944</v>
      </c>
      <c r="BB177" s="24">
        <v>0</v>
      </c>
      <c r="BC177" s="24">
        <v>35</v>
      </c>
      <c r="BD177" s="24">
        <v>33.93</v>
      </c>
    </row>
    <row r="178" spans="52:56" x14ac:dyDescent="0.25">
      <c r="AZ178" s="24">
        <v>175</v>
      </c>
      <c r="BA178" s="24">
        <v>0.16903397659089944</v>
      </c>
      <c r="BB178" s="24">
        <v>0</v>
      </c>
      <c r="BC178" s="24">
        <v>35</v>
      </c>
      <c r="BD178" s="24">
        <v>34.125</v>
      </c>
    </row>
    <row r="179" spans="52:56" x14ac:dyDescent="0.25">
      <c r="AZ179" s="24">
        <v>176</v>
      </c>
      <c r="BA179" s="24">
        <v>0.16903397659089944</v>
      </c>
      <c r="BB179" s="24">
        <v>0</v>
      </c>
      <c r="BC179" s="24">
        <v>35</v>
      </c>
      <c r="BD179" s="24">
        <v>34.32</v>
      </c>
    </row>
    <row r="180" spans="52:56" x14ac:dyDescent="0.25">
      <c r="AZ180" s="24">
        <v>177</v>
      </c>
      <c r="BA180" s="24">
        <v>0.16903397659089944</v>
      </c>
      <c r="BB180" s="24">
        <v>0</v>
      </c>
      <c r="BC180" s="24">
        <v>35</v>
      </c>
      <c r="BD180" s="24">
        <v>34.515000000000001</v>
      </c>
    </row>
    <row r="181" spans="52:56" x14ac:dyDescent="0.25">
      <c r="AZ181" s="24">
        <v>178</v>
      </c>
      <c r="BA181" s="24">
        <v>0.16903397659089944</v>
      </c>
      <c r="BB181" s="24">
        <v>0</v>
      </c>
      <c r="BC181" s="24">
        <v>35</v>
      </c>
      <c r="BD181" s="24">
        <v>34.71</v>
      </c>
    </row>
    <row r="182" spans="52:56" x14ac:dyDescent="0.25">
      <c r="AZ182" s="24">
        <v>179</v>
      </c>
      <c r="BA182" s="24">
        <v>0.16903397659089944</v>
      </c>
      <c r="BB182" s="24">
        <v>0</v>
      </c>
      <c r="BC182" s="24">
        <v>35</v>
      </c>
      <c r="BD182" s="24">
        <v>34.905000000000001</v>
      </c>
    </row>
    <row r="183" spans="52:56" x14ac:dyDescent="0.25">
      <c r="AZ183" s="24">
        <v>180</v>
      </c>
      <c r="BA183" s="24">
        <v>0.16903397659089944</v>
      </c>
      <c r="BB183" s="24">
        <v>0</v>
      </c>
      <c r="BC183" s="24">
        <v>35</v>
      </c>
      <c r="BD183" s="24">
        <v>35.1</v>
      </c>
    </row>
    <row r="184" spans="52:56" x14ac:dyDescent="0.25">
      <c r="AZ184" s="25">
        <v>181</v>
      </c>
      <c r="BA184" s="25">
        <v>0.16903397659089944</v>
      </c>
      <c r="BB184" s="25">
        <v>0</v>
      </c>
      <c r="BC184" s="25">
        <v>35</v>
      </c>
      <c r="BD184" s="25">
        <v>35.295000000000002</v>
      </c>
    </row>
    <row r="185" spans="52:56" x14ac:dyDescent="0.25">
      <c r="AZ185" s="25">
        <v>182</v>
      </c>
      <c r="BA185" s="25">
        <v>0.16903397659089944</v>
      </c>
      <c r="BB185" s="25">
        <v>1</v>
      </c>
      <c r="BC185" s="25">
        <v>36</v>
      </c>
      <c r="BD185" s="25">
        <v>35.49</v>
      </c>
    </row>
    <row r="186" spans="52:56" x14ac:dyDescent="0.25">
      <c r="AZ186" s="25">
        <v>183</v>
      </c>
      <c r="BA186" s="25">
        <v>0.16903397659089944</v>
      </c>
      <c r="BB186" s="25">
        <v>0</v>
      </c>
      <c r="BC186" s="25">
        <v>36</v>
      </c>
      <c r="BD186" s="25">
        <v>35.685000000000002</v>
      </c>
    </row>
    <row r="187" spans="52:56" x14ac:dyDescent="0.25">
      <c r="AZ187" s="25">
        <v>184</v>
      </c>
      <c r="BA187" s="25">
        <v>0.16903397659089944</v>
      </c>
      <c r="BB187" s="25">
        <v>1</v>
      </c>
      <c r="BC187" s="25">
        <v>37</v>
      </c>
      <c r="BD187" s="25">
        <v>35.880000000000003</v>
      </c>
    </row>
    <row r="188" spans="52:56" x14ac:dyDescent="0.25">
      <c r="AZ188" s="25">
        <v>185</v>
      </c>
      <c r="BA188" s="25">
        <v>0.16903397659089944</v>
      </c>
      <c r="BB188" s="25">
        <v>0</v>
      </c>
      <c r="BC188" s="25">
        <v>37</v>
      </c>
      <c r="BD188" s="25">
        <v>36.075000000000003</v>
      </c>
    </row>
    <row r="189" spans="52:56" x14ac:dyDescent="0.25">
      <c r="AZ189" s="25">
        <v>186</v>
      </c>
      <c r="BA189" s="25">
        <v>0.16903397659089944</v>
      </c>
      <c r="BB189" s="25">
        <v>0</v>
      </c>
      <c r="BC189" s="25">
        <v>37</v>
      </c>
      <c r="BD189" s="25">
        <v>36.270000000000003</v>
      </c>
    </row>
    <row r="190" spans="52:56" x14ac:dyDescent="0.25">
      <c r="AZ190" s="25">
        <v>187</v>
      </c>
      <c r="BA190" s="25">
        <v>0.16903397659089944</v>
      </c>
      <c r="BB190" s="25">
        <v>0</v>
      </c>
      <c r="BC190" s="25">
        <v>37</v>
      </c>
      <c r="BD190" s="25">
        <v>36.465000000000003</v>
      </c>
    </row>
    <row r="191" spans="52:56" x14ac:dyDescent="0.25">
      <c r="AZ191" s="25">
        <v>188</v>
      </c>
      <c r="BA191" s="25">
        <v>0.16903397659089944</v>
      </c>
      <c r="BB191" s="25">
        <v>0</v>
      </c>
      <c r="BC191" s="25">
        <v>37</v>
      </c>
      <c r="BD191" s="25">
        <v>36.660000000000004</v>
      </c>
    </row>
    <row r="192" spans="52:56" x14ac:dyDescent="0.25">
      <c r="AZ192" s="25">
        <v>189</v>
      </c>
      <c r="BA192" s="25">
        <v>0.16903397659089944</v>
      </c>
      <c r="BB192" s="25">
        <v>0</v>
      </c>
      <c r="BC192" s="25">
        <v>37</v>
      </c>
      <c r="BD192" s="25">
        <v>36.855000000000004</v>
      </c>
    </row>
    <row r="193" spans="52:56" x14ac:dyDescent="0.25">
      <c r="AZ193" s="25">
        <v>190</v>
      </c>
      <c r="BA193" s="25">
        <v>0.16903397659089944</v>
      </c>
      <c r="BB193" s="25">
        <v>0</v>
      </c>
      <c r="BC193" s="25">
        <v>37</v>
      </c>
      <c r="BD193" s="25">
        <v>37.050000000000004</v>
      </c>
    </row>
    <row r="194" spans="52:56" x14ac:dyDescent="0.25">
      <c r="AZ194" s="25">
        <v>191</v>
      </c>
      <c r="BA194" s="25">
        <v>0.16903397659089944</v>
      </c>
      <c r="BB194" s="25">
        <v>0</v>
      </c>
      <c r="BC194" s="25">
        <v>37</v>
      </c>
      <c r="BD194" s="25">
        <v>37.245000000000005</v>
      </c>
    </row>
    <row r="195" spans="52:56" x14ac:dyDescent="0.25">
      <c r="AZ195" s="25">
        <v>192</v>
      </c>
      <c r="BA195" s="25">
        <v>0.16903397659089944</v>
      </c>
      <c r="BB195" s="25">
        <v>0</v>
      </c>
      <c r="BC195" s="25">
        <v>37</v>
      </c>
      <c r="BD195" s="25">
        <v>37.44</v>
      </c>
    </row>
    <row r="196" spans="52:56" x14ac:dyDescent="0.25">
      <c r="AZ196" s="25">
        <v>193</v>
      </c>
      <c r="BA196" s="25">
        <v>0.16903397659089944</v>
      </c>
      <c r="BB196" s="25">
        <v>0</v>
      </c>
      <c r="BC196" s="25">
        <v>37</v>
      </c>
      <c r="BD196" s="25">
        <v>37.634999999999998</v>
      </c>
    </row>
    <row r="197" spans="52:56" x14ac:dyDescent="0.25">
      <c r="AZ197" s="25">
        <v>194</v>
      </c>
      <c r="BA197" s="25">
        <v>0.16903397659089944</v>
      </c>
      <c r="BB197" s="25">
        <v>1</v>
      </c>
      <c r="BC197" s="25">
        <v>38</v>
      </c>
      <c r="BD197" s="25">
        <v>37.83</v>
      </c>
    </row>
    <row r="198" spans="52:56" x14ac:dyDescent="0.25">
      <c r="AZ198" s="25">
        <v>195</v>
      </c>
      <c r="BA198" s="25">
        <v>0.16903397659089944</v>
      </c>
      <c r="BB198" s="25">
        <v>0</v>
      </c>
      <c r="BC198" s="25">
        <v>38</v>
      </c>
      <c r="BD198" s="25">
        <v>38.024999999999999</v>
      </c>
    </row>
    <row r="199" spans="52:56" x14ac:dyDescent="0.25">
      <c r="AZ199" s="25">
        <v>196</v>
      </c>
      <c r="BA199" s="25">
        <v>0.16903397659089944</v>
      </c>
      <c r="BB199" s="25">
        <v>0</v>
      </c>
      <c r="BC199" s="25">
        <v>38</v>
      </c>
      <c r="BD199" s="25">
        <v>38.22</v>
      </c>
    </row>
    <row r="200" spans="52:56" x14ac:dyDescent="0.25">
      <c r="AZ200" s="25">
        <v>197</v>
      </c>
      <c r="BA200" s="25">
        <v>0.16903397659089944</v>
      </c>
      <c r="BB200" s="25">
        <v>0</v>
      </c>
      <c r="BC200" s="25">
        <v>38</v>
      </c>
      <c r="BD200" s="25">
        <v>38.414999999999999</v>
      </c>
    </row>
    <row r="201" spans="52:56" x14ac:dyDescent="0.25">
      <c r="AZ201" s="25">
        <v>198</v>
      </c>
      <c r="BA201" s="25">
        <v>0.16903397659089944</v>
      </c>
      <c r="BB201" s="25">
        <v>0</v>
      </c>
      <c r="BC201" s="25">
        <v>38</v>
      </c>
      <c r="BD201" s="25">
        <v>38.61</v>
      </c>
    </row>
    <row r="202" spans="52:56" x14ac:dyDescent="0.25">
      <c r="AZ202" s="25">
        <v>199</v>
      </c>
      <c r="BA202" s="25">
        <v>0.16903397659089944</v>
      </c>
      <c r="BB202" s="25">
        <v>1</v>
      </c>
      <c r="BC202" s="25">
        <v>39</v>
      </c>
      <c r="BD202" s="25">
        <v>38.805</v>
      </c>
    </row>
    <row r="203" spans="52:56" x14ac:dyDescent="0.25">
      <c r="AZ203" s="25">
        <v>200</v>
      </c>
      <c r="BA203" s="25">
        <v>0.16903397659089944</v>
      </c>
      <c r="BB203" s="25">
        <v>0</v>
      </c>
      <c r="BC203" s="25">
        <v>39</v>
      </c>
      <c r="BD203" s="25">
        <v>39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2'!$B$10:$B$10" display="Inputs"/>
    <hyperlink ref="D4" location="'LR_Output2'!$B$40:$B$40" display="Prior Class Prob."/>
    <hyperlink ref="F4" location="'LR_Output2'!$B$49:$B$49" display="Predictors"/>
    <hyperlink ref="H4" location="'LR_Output2'!$B$59:$B$59" display="Regress. Model"/>
    <hyperlink ref="J4" location="'LR_Output2'!$B$66:$B$66" display="Train. Score Summary"/>
    <hyperlink ref="B5" location="'LR_Output2'!$B$90:$B$90" display="Valid. Score Summary"/>
    <hyperlink ref="D5" location="'LR_TrainingLiftChart2'!$B$10:$B$10" display="Training Lift Chart"/>
    <hyperlink ref="F5" location="'LR_ValidationLiftChart2'!$B$10:$B$10" display="Validation Lift Chart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workbookViewId="0"/>
  </sheetViews>
  <sheetFormatPr defaultRowHeight="15.75" x14ac:dyDescent="0.25"/>
  <cols>
    <col min="1" max="1" width="21" bestFit="1" customWidth="1"/>
    <col min="2" max="2" width="16.75" bestFit="1" customWidth="1"/>
  </cols>
  <sheetData>
    <row r="1" spans="1:13" x14ac:dyDescent="0.25">
      <c r="M1" t="s">
        <v>168</v>
      </c>
    </row>
    <row r="2" spans="1:13" x14ac:dyDescent="0.25">
      <c r="A2" s="9" t="s">
        <v>24</v>
      </c>
      <c r="B2" s="7" t="s">
        <v>25</v>
      </c>
    </row>
    <row r="3" spans="1:13" x14ac:dyDescent="0.25">
      <c r="A3" s="9" t="s">
        <v>26</v>
      </c>
      <c r="B3" s="7" t="b">
        <v>1</v>
      </c>
    </row>
    <row r="4" spans="1:13" x14ac:dyDescent="0.25">
      <c r="A4" s="9" t="s">
        <v>27</v>
      </c>
      <c r="B4" s="7">
        <v>1</v>
      </c>
    </row>
    <row r="5" spans="1:13" x14ac:dyDescent="0.25">
      <c r="A5" s="9" t="s">
        <v>13</v>
      </c>
      <c r="B5" s="7" t="s">
        <v>160</v>
      </c>
      <c r="D5" s="7"/>
      <c r="E5" s="7" t="s">
        <v>2</v>
      </c>
      <c r="F5" s="7" t="s">
        <v>3</v>
      </c>
    </row>
    <row r="6" spans="1:13" x14ac:dyDescent="0.25">
      <c r="A6" s="9" t="s">
        <v>29</v>
      </c>
      <c r="B6" s="7" t="s">
        <v>161</v>
      </c>
      <c r="D6" s="7"/>
      <c r="E6" s="7">
        <v>1</v>
      </c>
      <c r="F6" s="7">
        <v>2</v>
      </c>
    </row>
    <row r="7" spans="1:13" x14ac:dyDescent="0.25">
      <c r="A7" s="9" t="s">
        <v>31</v>
      </c>
      <c r="B7" s="7" t="s">
        <v>162</v>
      </c>
      <c r="D7" s="7"/>
      <c r="E7" s="7" t="s">
        <v>33</v>
      </c>
      <c r="F7" s="7" t="s">
        <v>34</v>
      </c>
    </row>
    <row r="8" spans="1:13" x14ac:dyDescent="0.25">
      <c r="A8" s="9" t="s">
        <v>35</v>
      </c>
      <c r="B8" s="7" t="s">
        <v>163</v>
      </c>
      <c r="D8" s="7"/>
      <c r="E8" s="7" t="s">
        <v>37</v>
      </c>
      <c r="F8" s="7"/>
    </row>
    <row r="9" spans="1:13" x14ac:dyDescent="0.25">
      <c r="A9" s="9" t="s">
        <v>38</v>
      </c>
      <c r="B9" s="7" t="s">
        <v>164</v>
      </c>
      <c r="D9" s="7"/>
      <c r="E9" s="7" t="s">
        <v>2</v>
      </c>
      <c r="F9" s="7"/>
    </row>
    <row r="10" spans="1:13" x14ac:dyDescent="0.25">
      <c r="A10" s="9" t="s">
        <v>40</v>
      </c>
      <c r="B10" s="7" t="s">
        <v>41</v>
      </c>
      <c r="D10" s="7">
        <v>-1.3538396465360079</v>
      </c>
      <c r="E10" s="7">
        <v>-0.23864952145977772</v>
      </c>
    </row>
    <row r="11" spans="1:13" x14ac:dyDescent="0.25">
      <c r="A11" s="9" t="s">
        <v>42</v>
      </c>
      <c r="B11" s="7">
        <v>1</v>
      </c>
      <c r="E11" s="7">
        <v>0</v>
      </c>
      <c r="F11" s="7">
        <v>1</v>
      </c>
    </row>
    <row r="12" spans="1:13" x14ac:dyDescent="0.25">
      <c r="A12" s="9" t="s">
        <v>43</v>
      </c>
      <c r="B12" s="7">
        <v>0.5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300"/>
  <sheetViews>
    <sheetView showGridLines="0" topLeftCell="A55" workbookViewId="0"/>
  </sheetViews>
  <sheetFormatPr defaultRowHeight="15.75" x14ac:dyDescent="0.25"/>
  <cols>
    <col min="6" max="6" width="11.875" bestFit="1" customWidth="1"/>
    <col min="14" max="14" width="11.5" bestFit="1" customWidth="1"/>
  </cols>
  <sheetData>
    <row r="1" spans="2:59" ht="18.75" x14ac:dyDescent="0.3">
      <c r="B1" s="5" t="s">
        <v>72</v>
      </c>
      <c r="N1" t="s">
        <v>167</v>
      </c>
      <c r="AY1" s="7">
        <v>0.11727308826383263</v>
      </c>
      <c r="AZ1" s="7" t="str">
        <f>"0"</f>
        <v>0</v>
      </c>
      <c r="BA1" t="str">
        <f ca="1">IF((OFFSET($A$1, 1 - 1, 51 - 1)) &gt;= (OFFSET($A$1, 68 - 1, 7 - 1)), "1","0")</f>
        <v>0</v>
      </c>
      <c r="BB1">
        <f ca="1" xml:space="preserve"> IF( AND( OFFSET($A$1, 1 - 1, 52 - 1) = "1", OFFSET($A$1, 1 - 1, 53 - 1) = "1" ), 1, IF( AND( OFFSET($A$1, 1 - 1, 52 - 1) = "1", OFFSET($A$1, 1 - 1, 53 - 1) = "0" ), 2, IF( AND( OFFSET($A$1, 1 - 1, 52 - 1) = "0", OFFSET($A$1, 1 - 1, 53 - 1) = "1" ), 3, 4 ) ) )</f>
        <v>4</v>
      </c>
      <c r="BD1" s="7">
        <v>0.19316004682073495</v>
      </c>
      <c r="BE1" s="7" t="str">
        <f>"0"</f>
        <v>0</v>
      </c>
      <c r="BF1" t="str">
        <f ca="1">IF((OFFSET($A$1, 1 - 1, 56 - 1)) &gt;= (OFFSET($A$1, 92 - 1, 7 - 1)), "1","0")</f>
        <v>0</v>
      </c>
      <c r="BG1">
        <f ca="1" xml:space="preserve"> IF( AND( OFFSET($A$1, 1 - 1, 57 - 1) = "1", OFFSET($A$1, 1 - 1, 58 - 1) = "1" ), 1, IF( AND( OFFSET($A$1, 1 - 1, 57 - 1) = "1", OFFSET($A$1, 1 - 1, 58 - 1) = "0" ), 2, IF( AND( OFFSET($A$1, 1 - 1, 57 - 1) = "0", OFFSET($A$1, 1 - 1, 58 - 1) = "1" ), 3, 4 ) ) )</f>
        <v>4</v>
      </c>
    </row>
    <row r="2" spans="2:59" x14ac:dyDescent="0.25">
      <c r="AY2" s="7">
        <v>0.15923896155940181</v>
      </c>
      <c r="AZ2" s="7" t="str">
        <f>"0"</f>
        <v>0</v>
      </c>
      <c r="BA2" t="str">
        <f ca="1">IF((OFFSET($A$1, 2 - 1, 51 - 1)) &gt;= (OFFSET($A$1, 68 - 1, 7 - 1)), "1","0")</f>
        <v>0</v>
      </c>
      <c r="BB2">
        <f ca="1" xml:space="preserve"> IF( AND( OFFSET($A$1, 2 - 1, 52 - 1) = "1", OFFSET($A$1, 2 - 1, 53 - 1) = "1" ), 1, IF( AND( OFFSET($A$1, 2 - 1, 52 - 1) = "1", OFFSET($A$1, 2 - 1, 53 - 1) = "0" ), 2, IF( AND( OFFSET($A$1, 2 - 1, 52 - 1) = "0", OFFSET($A$1, 2 - 1, 53 - 1) = "1" ), 3, 4 ) ) )</f>
        <v>4</v>
      </c>
      <c r="BD2" s="7">
        <v>0.17418507262711561</v>
      </c>
      <c r="BE2" s="7" t="str">
        <f>"0"</f>
        <v>0</v>
      </c>
      <c r="BF2" t="str">
        <f ca="1">IF((OFFSET($A$1, 2 - 1, 56 - 1)) &gt;= (OFFSET($A$1, 92 - 1, 7 - 1)), "1","0")</f>
        <v>0</v>
      </c>
      <c r="BG2">
        <f ca="1" xml:space="preserve"> IF( AND( OFFSET($A$1, 2 - 1, 57 - 1) = "1", OFFSET($A$1, 2 - 1, 58 - 1) = "1" ), 1, IF( AND( OFFSET($A$1, 2 - 1, 57 - 1) = "1", OFFSET($A$1, 2 - 1, 58 - 1) = "0" ), 2, IF( AND( OFFSET($A$1, 2 - 1, 57 - 1) = "0", OFFSET($A$1, 2 - 1, 58 - 1) = "1" ), 3, 4 ) ) )</f>
        <v>4</v>
      </c>
    </row>
    <row r="3" spans="2:59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Y3" s="7">
        <v>0.20944246859479526</v>
      </c>
      <c r="AZ3" s="7" t="str">
        <f>"1"</f>
        <v>1</v>
      </c>
      <c r="BA3" t="str">
        <f ca="1">IF((OFFSET($A$1, 3 - 1, 51 - 1)) &gt;= (OFFSET($A$1, 68 - 1, 7 - 1)), "1","0")</f>
        <v>0</v>
      </c>
      <c r="BB3">
        <f ca="1" xml:space="preserve"> IF( AND( OFFSET($A$1, 3 - 1, 52 - 1) = "1", OFFSET($A$1, 3 - 1, 53 - 1) = "1" ), 1, IF( AND( OFFSET($A$1, 3 - 1, 52 - 1) = "1", OFFSET($A$1, 3 - 1, 53 - 1) = "0" ), 2, IF( AND( OFFSET($A$1, 3 - 1, 52 - 1) = "0", OFFSET($A$1, 3 - 1, 53 - 1) = "1" ), 3, 4 ) ) )</f>
        <v>2</v>
      </c>
      <c r="BD3" s="7">
        <v>0.11339679530412318</v>
      </c>
      <c r="BE3" s="7" t="str">
        <f>"0"</f>
        <v>0</v>
      </c>
      <c r="BF3" t="str">
        <f ca="1">IF((OFFSET($A$1, 3 - 1, 56 - 1)) &gt;= (OFFSET($A$1, 92 - 1, 7 - 1)), "1","0")</f>
        <v>0</v>
      </c>
      <c r="BG3">
        <f ca="1" xml:space="preserve"> IF( AND( OFFSET($A$1, 3 - 1, 57 - 1) = "1", OFFSET($A$1, 3 - 1, 58 - 1) = "1" ), 1, IF( AND( OFFSET($A$1, 3 - 1, 57 - 1) = "1", OFFSET($A$1, 3 - 1, 58 - 1) = "0" ), 2, IF( AND( OFFSET($A$1, 3 - 1, 57 - 1) = "0", OFFSET($A$1, 3 - 1, 58 - 1) = "1" ), 3, 4 ) ) )</f>
        <v>4</v>
      </c>
    </row>
    <row r="4" spans="2:59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67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Y4" s="7">
        <v>0.16790078346362572</v>
      </c>
      <c r="AZ4" s="7" t="str">
        <f>"0"</f>
        <v>0</v>
      </c>
      <c r="BA4" t="str">
        <f ca="1">IF((OFFSET($A$1, 4 - 1, 51 - 1)) &gt;= (OFFSET($A$1, 68 - 1, 7 - 1)), "1","0")</f>
        <v>0</v>
      </c>
      <c r="BB4">
        <f ca="1" xml:space="preserve"> IF( AND( OFFSET($A$1, 4 - 1, 52 - 1) = "1", OFFSET($A$1, 4 - 1, 53 - 1) = "1" ), 1, IF( AND( OFFSET($A$1, 4 - 1, 52 - 1) = "1", OFFSET($A$1, 4 - 1, 53 - 1) = "0" ), 2, IF( AND( OFFSET($A$1, 4 - 1, 52 - 1) = "0", OFFSET($A$1, 4 - 1, 53 - 1) = "1" ), 3, 4 ) ) )</f>
        <v>4</v>
      </c>
      <c r="BD4" s="7">
        <v>0.13467939770471385</v>
      </c>
      <c r="BE4" s="7" t="str">
        <f>"0"</f>
        <v>0</v>
      </c>
      <c r="BF4" t="str">
        <f ca="1">IF((OFFSET($A$1, 4 - 1, 56 - 1)) &gt;= (OFFSET($A$1, 92 - 1, 7 - 1)), "1","0")</f>
        <v>0</v>
      </c>
      <c r="BG4">
        <f ca="1" xml:space="preserve"> IF( AND( OFFSET($A$1, 4 - 1, 57 - 1) = "1", OFFSET($A$1, 4 - 1, 58 - 1) = "1" ), 1, IF( AND( OFFSET($A$1, 4 - 1, 57 - 1) = "1", OFFSET($A$1, 4 - 1, 58 - 1) = "0" ), 2, IF( AND( OFFSET($A$1, 4 - 1, 57 - 1) = "0", OFFSET($A$1, 4 - 1, 58 - 1) = "1" ), 3, 4 ) ) )</f>
        <v>4</v>
      </c>
    </row>
    <row r="5" spans="2:59" x14ac:dyDescent="0.25">
      <c r="B5" s="23" t="s">
        <v>68</v>
      </c>
      <c r="C5" s="19"/>
      <c r="D5" s="23" t="s">
        <v>69</v>
      </c>
      <c r="E5" s="19"/>
      <c r="F5" s="23" t="s">
        <v>70</v>
      </c>
      <c r="G5" s="19"/>
      <c r="H5" s="17"/>
      <c r="I5" s="19"/>
      <c r="J5" s="17"/>
      <c r="K5" s="19"/>
      <c r="N5" s="7">
        <v>0</v>
      </c>
      <c r="O5" s="7">
        <v>0</v>
      </c>
      <c r="P5" s="7">
        <v>0</v>
      </c>
      <c r="Q5" s="7">
        <v>0</v>
      </c>
      <c r="AY5" s="7">
        <v>0.18253568298471734</v>
      </c>
      <c r="AZ5" s="7" t="str">
        <f>"1"</f>
        <v>1</v>
      </c>
      <c r="BA5" t="str">
        <f ca="1">IF((OFFSET($A$1, 5 - 1, 51 - 1)) &gt;= (OFFSET($A$1, 68 - 1, 7 - 1)), "1","0")</f>
        <v>0</v>
      </c>
      <c r="BB5">
        <f ca="1" xml:space="preserve"> IF( AND( OFFSET($A$1, 5 - 1, 52 - 1) = "1", OFFSET($A$1, 5 - 1, 53 - 1) = "1" ), 1, IF( AND( OFFSET($A$1, 5 - 1, 52 - 1) = "1", OFFSET($A$1, 5 - 1, 53 - 1) = "0" ), 2, IF( AND( OFFSET($A$1, 5 - 1, 52 - 1) = "0", OFFSET($A$1, 5 - 1, 53 - 1) = "1" ), 3, 4 ) ) )</f>
        <v>2</v>
      </c>
      <c r="BD5" s="7">
        <v>0.17146935892830426</v>
      </c>
      <c r="BE5" s="7" t="str">
        <f>"0"</f>
        <v>0</v>
      </c>
      <c r="BF5" t="str">
        <f ca="1">IF((OFFSET($A$1, 5 - 1, 56 - 1)) &gt;= (OFFSET($A$1, 92 - 1, 7 - 1)), "1","0")</f>
        <v>0</v>
      </c>
      <c r="BG5">
        <f ca="1" xml:space="preserve"> IF( AND( OFFSET($A$1, 5 - 1, 57 - 1) = "1", OFFSET($A$1, 5 - 1, 58 - 1) = "1" ), 1, IF( AND( OFFSET($A$1, 5 - 1, 57 - 1) = "1", OFFSET($A$1, 5 - 1, 58 - 1) = "0" ), 2, IF( AND( OFFSET($A$1, 5 - 1, 57 - 1) = "0", OFFSET($A$1, 5 - 1, 58 - 1) = "1" ), 3, 4 ) ) )</f>
        <v>4</v>
      </c>
    </row>
    <row r="6" spans="2:59" x14ac:dyDescent="0.25">
      <c r="AY6" s="7">
        <v>0.23344165564113931</v>
      </c>
      <c r="AZ6" s="7" t="str">
        <f>"0"</f>
        <v>0</v>
      </c>
      <c r="BA6" t="str">
        <f ca="1">IF((OFFSET($A$1, 6 - 1, 51 - 1)) &gt;= (OFFSET($A$1, 68 - 1, 7 - 1)), "1","0")</f>
        <v>0</v>
      </c>
      <c r="BB6">
        <f ca="1" xml:space="preserve"> IF( AND( OFFSET($A$1, 6 - 1, 52 - 1) = "1", OFFSET($A$1, 6 - 1, 53 - 1) = "1" ), 1, IF( AND( OFFSET($A$1, 6 - 1, 52 - 1) = "1", OFFSET($A$1, 6 - 1, 53 - 1) = "0" ), 2, IF( AND( OFFSET($A$1, 6 - 1, 52 - 1) = "0", OFFSET($A$1, 6 - 1, 53 - 1) = "1" ), 3, 4 ) ) )</f>
        <v>4</v>
      </c>
      <c r="BD6" s="7">
        <v>0.18348246690899619</v>
      </c>
      <c r="BE6" s="7" t="str">
        <f>"0"</f>
        <v>0</v>
      </c>
      <c r="BF6" t="str">
        <f ca="1">IF((OFFSET($A$1, 6 - 1, 56 - 1)) &gt;= (OFFSET($A$1, 92 - 1, 7 - 1)), "1","0")</f>
        <v>0</v>
      </c>
      <c r="BG6">
        <f ca="1" xml:space="preserve"> IF( AND( OFFSET($A$1, 6 - 1, 57 - 1) = "1", OFFSET($A$1, 6 - 1, 58 - 1) = "1" ), 1, IF( AND( OFFSET($A$1, 6 - 1, 57 - 1) = "1", OFFSET($A$1, 6 - 1, 58 - 1) = "0" ), 2, IF( AND( OFFSET($A$1, 6 - 1, 57 - 1) = "0", OFFSET($A$1, 6 - 1, 58 - 1) = "1" ), 3, 4 ) ) )</f>
        <v>4</v>
      </c>
    </row>
    <row r="7" spans="2:59" x14ac:dyDescent="0.25">
      <c r="AY7" s="7">
        <v>0.2449637377259965</v>
      </c>
      <c r="AZ7" s="7" t="str">
        <f>"0"</f>
        <v>0</v>
      </c>
      <c r="BA7" t="str">
        <f ca="1">IF((OFFSET($A$1, 7 - 1, 51 - 1)) &gt;= (OFFSET($A$1, 68 - 1, 7 - 1)), "1","0")</f>
        <v>0</v>
      </c>
      <c r="BB7">
        <f ca="1" xml:space="preserve"> IF( AND( OFFSET($A$1, 7 - 1, 52 - 1) = "1", OFFSET($A$1, 7 - 1, 53 - 1) = "1" ), 1, IF( AND( OFFSET($A$1, 7 - 1, 52 - 1) = "1", OFFSET($A$1, 7 - 1, 53 - 1) = "0" ), 2, IF( AND( OFFSET($A$1, 7 - 1, 52 - 1) = "0", OFFSET($A$1, 7 - 1, 53 - 1) = "1" ), 3, 4 ) ) )</f>
        <v>4</v>
      </c>
      <c r="BD7" s="7">
        <v>0.21795376586115467</v>
      </c>
      <c r="BE7" s="7" t="str">
        <f>"1"</f>
        <v>1</v>
      </c>
      <c r="BF7" t="str">
        <f ca="1">IF((OFFSET($A$1, 7 - 1, 56 - 1)) &gt;= (OFFSET($A$1, 92 - 1, 7 - 1)), "1","0")</f>
        <v>0</v>
      </c>
      <c r="BG7">
        <f ca="1" xml:space="preserve"> IF( AND( OFFSET($A$1, 7 - 1, 57 - 1) = "1", OFFSET($A$1, 7 - 1, 58 - 1) = "1" ), 1, IF( AND( OFFSET($A$1, 7 - 1, 57 - 1) = "1", OFFSET($A$1, 7 - 1, 58 - 1) = "0" ), 2, IF( AND( OFFSET($A$1, 7 - 1, 57 - 1) = "0", OFFSET($A$1, 7 - 1, 58 - 1) = "1" ), 3, 4 ) ) )</f>
        <v>2</v>
      </c>
    </row>
    <row r="8" spans="2:59" x14ac:dyDescent="0.25">
      <c r="AY8" s="7">
        <v>0.20219760526922306</v>
      </c>
      <c r="AZ8" s="7" t="str">
        <f>"1"</f>
        <v>1</v>
      </c>
      <c r="BA8" t="str">
        <f ca="1">IF((OFFSET($A$1, 8 - 1, 51 - 1)) &gt;= (OFFSET($A$1, 68 - 1, 7 - 1)), "1","0")</f>
        <v>0</v>
      </c>
      <c r="BB8">
        <f ca="1" xml:space="preserve"> IF( AND( OFFSET($A$1, 8 - 1, 52 - 1) = "1", OFFSET($A$1, 8 - 1, 53 - 1) = "1" ), 1, IF( AND( OFFSET($A$1, 8 - 1, 52 - 1) = "1", OFFSET($A$1, 8 - 1, 53 - 1) = "0" ), 2, IF( AND( OFFSET($A$1, 8 - 1, 52 - 1) = "0", OFFSET($A$1, 8 - 1, 53 - 1) = "1" ), 3, 4 ) ) )</f>
        <v>2</v>
      </c>
      <c r="BD8" s="7">
        <v>0.18348246690899619</v>
      </c>
      <c r="BE8" s="7" t="str">
        <f>"0"</f>
        <v>0</v>
      </c>
      <c r="BF8" t="str">
        <f ca="1">IF((OFFSET($A$1, 8 - 1, 56 - 1)) &gt;= (OFFSET($A$1, 92 - 1, 7 - 1)), "1","0")</f>
        <v>0</v>
      </c>
      <c r="BG8">
        <f ca="1" xml:space="preserve"> IF( AND( OFFSET($A$1, 8 - 1, 57 - 1) = "1", OFFSET($A$1, 8 - 1, 58 - 1) = "1" ), 1, IF( AND( OFFSET($A$1, 8 - 1, 57 - 1) = "1", OFFSET($A$1, 8 - 1, 58 - 1) = "0" ), 2, IF( AND( OFFSET($A$1, 8 - 1, 57 - 1) = "0", OFFSET($A$1, 8 - 1, 58 - 1) = "1" ), 3, 4 ) ) )</f>
        <v>4</v>
      </c>
    </row>
    <row r="9" spans="2:59" x14ac:dyDescent="0.25">
      <c r="AY9" s="7">
        <v>0.16967760689892111</v>
      </c>
      <c r="AZ9" s="7" t="str">
        <f>"0"</f>
        <v>0</v>
      </c>
      <c r="BA9" t="str">
        <f ca="1">IF((OFFSET($A$1, 9 - 1, 51 - 1)) &gt;= (OFFSET($A$1, 68 - 1, 7 - 1)), "1","0")</f>
        <v>0</v>
      </c>
      <c r="BB9">
        <f ca="1" xml:space="preserve"> IF( AND( OFFSET($A$1, 9 - 1, 52 - 1) = "1", OFFSET($A$1, 9 - 1, 53 - 1) = "1" ), 1, IF( AND( OFFSET($A$1, 9 - 1, 52 - 1) = "1", OFFSET($A$1, 9 - 1, 53 - 1) = "0" ), 2, IF( AND( OFFSET($A$1, 9 - 1, 52 - 1) = "0", OFFSET($A$1, 9 - 1, 53 - 1) = "1" ), 3, 4 ) ) )</f>
        <v>4</v>
      </c>
      <c r="BD9" s="7">
        <v>0.16967760689892111</v>
      </c>
      <c r="BE9" s="7" t="str">
        <f>"0"</f>
        <v>0</v>
      </c>
      <c r="BF9" t="str">
        <f ca="1">IF((OFFSET($A$1, 9 - 1, 56 - 1)) &gt;= (OFFSET($A$1, 92 - 1, 7 - 1)), "1","0")</f>
        <v>0</v>
      </c>
      <c r="BG9">
        <f ca="1" xml:space="preserve"> IF( AND( OFFSET($A$1, 9 - 1, 57 - 1) = "1", OFFSET($A$1, 9 - 1, 58 - 1) = "1" ), 1, IF( AND( OFFSET($A$1, 9 - 1, 57 - 1) = "1", OFFSET($A$1, 9 - 1, 58 - 1) = "0" ), 2, IF( AND( OFFSET($A$1, 9 - 1, 57 - 1) = "0", OFFSET($A$1, 9 - 1, 58 - 1) = "1" ), 3, 4 ) ) )</f>
        <v>4</v>
      </c>
    </row>
    <row r="10" spans="2:59" ht="18.75" x14ac:dyDescent="0.3">
      <c r="B10" s="26" t="s">
        <v>62</v>
      </c>
      <c r="AY10" s="7">
        <v>0.19217507898421096</v>
      </c>
      <c r="AZ10" s="7" t="str">
        <f>"0"</f>
        <v>0</v>
      </c>
      <c r="BA10" t="str">
        <f ca="1">IF((OFFSET($A$1, 10 - 1, 51 - 1)) &gt;= (OFFSET($A$1, 68 - 1, 7 - 1)), "1","0")</f>
        <v>0</v>
      </c>
      <c r="BB10">
        <f ca="1" xml:space="preserve"> IF( AND( OFFSET($A$1, 10 - 1, 52 - 1) = "1", OFFSET($A$1, 10 - 1, 53 - 1) = "1" ), 1, IF( AND( OFFSET($A$1, 10 - 1, 52 - 1) = "1", OFFSET($A$1, 10 - 1, 53 - 1) = "0" ), 2, IF( AND( OFFSET($A$1, 10 - 1, 52 - 1) = "0", OFFSET($A$1, 10 - 1, 53 - 1) = "1" ), 3, 4 ) ) )</f>
        <v>4</v>
      </c>
      <c r="BD10" s="7">
        <v>0.1951414900904731</v>
      </c>
      <c r="BE10" s="7" t="str">
        <f>"0"</f>
        <v>0</v>
      </c>
      <c r="BF10" t="str">
        <f ca="1">IF((OFFSET($A$1, 10 - 1, 56 - 1)) &gt;= (OFFSET($A$1, 92 - 1, 7 - 1)), "1","0")</f>
        <v>0</v>
      </c>
      <c r="BG10">
        <f ca="1" xml:space="preserve"> IF( AND( OFFSET($A$1, 10 - 1, 57 - 1) = "1", OFFSET($A$1, 10 - 1, 58 - 1) = "1" ), 1, IF( AND( OFFSET($A$1, 10 - 1, 57 - 1) = "1", OFFSET($A$1, 10 - 1, 58 - 1) = "0" ), 2, IF( AND( OFFSET($A$1, 10 - 1, 57 - 1) = "0", OFFSET($A$1, 10 - 1, 58 - 1) = "1" ), 3, 4 ) ) )</f>
        <v>4</v>
      </c>
    </row>
    <row r="11" spans="2:59" x14ac:dyDescent="0.25">
      <c r="AY11" s="7">
        <v>0.21687635285058307</v>
      </c>
      <c r="AZ11" s="7" t="str">
        <f>"0"</f>
        <v>0</v>
      </c>
      <c r="BA11" t="str">
        <f ca="1">IF((OFFSET($A$1, 11 - 1, 51 - 1)) &gt;= (OFFSET($A$1, 68 - 1, 7 - 1)), "1","0")</f>
        <v>0</v>
      </c>
      <c r="BB11">
        <f ca="1" xml:space="preserve"> IF( AND( OFFSET($A$1, 11 - 1, 52 - 1) = "1", OFFSET($A$1, 11 - 1, 53 - 1) = "1" ), 1, IF( AND( OFFSET($A$1, 11 - 1, 52 - 1) = "1", OFFSET($A$1, 11 - 1, 53 - 1) = "0" ), 2, IF( AND( OFFSET($A$1, 11 - 1, 52 - 1) = "0", OFFSET($A$1, 11 - 1, 53 - 1) = "1" ), 3, 4 ) ) )</f>
        <v>4</v>
      </c>
      <c r="BD11" s="7">
        <v>0.15587703439121409</v>
      </c>
      <c r="BE11" s="7" t="str">
        <f>"0"</f>
        <v>0</v>
      </c>
      <c r="BF11" t="str">
        <f ca="1">IF((OFFSET($A$1, 11 - 1, 56 - 1)) &gt;= (OFFSET($A$1, 92 - 1, 7 - 1)), "1","0")</f>
        <v>0</v>
      </c>
      <c r="BG11">
        <f ca="1" xml:space="preserve"> IF( AND( OFFSET($A$1, 11 - 1, 57 - 1) = "1", OFFSET($A$1, 11 - 1, 58 - 1) = "1" ), 1, IF( AND( OFFSET($A$1, 11 - 1, 57 - 1) = "1", OFFSET($A$1, 11 - 1, 58 - 1) = "0" ), 2, IF( AND( OFFSET($A$1, 11 - 1, 57 - 1) = "0", OFFSET($A$1, 11 - 1, 58 - 1) = "1" ), 3, 4 ) ) )</f>
        <v>4</v>
      </c>
    </row>
    <row r="12" spans="2:59" x14ac:dyDescent="0.25">
      <c r="C12" s="11" t="s">
        <v>10</v>
      </c>
      <c r="D12" s="12"/>
      <c r="E12" s="12"/>
      <c r="F12" s="12"/>
      <c r="G12" s="12"/>
      <c r="H12" s="12"/>
      <c r="I12" s="12"/>
      <c r="J12" s="12"/>
      <c r="K12" s="13"/>
      <c r="AY12" s="7">
        <v>0.17237084680323442</v>
      </c>
      <c r="AZ12" s="7" t="str">
        <f>"0"</f>
        <v>0</v>
      </c>
      <c r="BA12" t="str">
        <f ca="1">IF((OFFSET($A$1, 12 - 1, 51 - 1)) &gt;= (OFFSET($A$1, 68 - 1, 7 - 1)), "1","0")</f>
        <v>0</v>
      </c>
      <c r="BB12">
        <f ca="1" xml:space="preserve"> IF( AND( OFFSET($A$1, 12 - 1, 52 - 1) = "1", OFFSET($A$1, 12 - 1, 53 - 1) = "1" ), 1, IF( AND( OFFSET($A$1, 12 - 1, 52 - 1) = "1", OFFSET($A$1, 12 - 1, 53 - 1) = "0" ), 2, IF( AND( OFFSET($A$1, 12 - 1, 52 - 1) = "0", OFFSET($A$1, 12 - 1, 53 - 1) = "1" ), 3, 4 ) ) )</f>
        <v>4</v>
      </c>
      <c r="BD12" s="7">
        <v>0.14932701361322703</v>
      </c>
      <c r="BE12" s="7" t="str">
        <f>"0"</f>
        <v>0</v>
      </c>
      <c r="BF12" t="str">
        <f ca="1">IF((OFFSET($A$1, 12 - 1, 56 - 1)) &gt;= (OFFSET($A$1, 92 - 1, 7 - 1)), "1","0")</f>
        <v>0</v>
      </c>
      <c r="BG12">
        <f ca="1" xml:space="preserve"> IF( AND( OFFSET($A$1, 12 - 1, 57 - 1) = "1", OFFSET($A$1, 12 - 1, 58 - 1) = "1" ), 1, IF( AND( OFFSET($A$1, 12 - 1, 57 - 1) = "1", OFFSET($A$1, 12 - 1, 58 - 1) = "0" ), 2, IF( AND( OFFSET($A$1, 12 - 1, 57 - 1) = "0", OFFSET($A$1, 12 - 1, 58 - 1) = "1" ), 3, 4 ) ) )</f>
        <v>4</v>
      </c>
    </row>
    <row r="13" spans="2:59" x14ac:dyDescent="0.25">
      <c r="C13" s="14" t="s">
        <v>73</v>
      </c>
      <c r="D13" s="15"/>
      <c r="E13" s="15"/>
      <c r="F13" s="16"/>
      <c r="G13" s="20" t="s">
        <v>74</v>
      </c>
      <c r="H13" s="21"/>
      <c r="I13" s="21"/>
      <c r="J13" s="21"/>
      <c r="K13" s="22"/>
      <c r="AY13" s="7">
        <v>0.15257320528922483</v>
      </c>
      <c r="AZ13" s="7" t="str">
        <f>"0"</f>
        <v>0</v>
      </c>
      <c r="BA13" t="str">
        <f ca="1">IF((OFFSET($A$1, 13 - 1, 51 - 1)) &gt;= (OFFSET($A$1, 68 - 1, 7 - 1)), "1","0")</f>
        <v>0</v>
      </c>
      <c r="BB13">
        <f ca="1" xml:space="preserve"> IF( AND( OFFSET($A$1, 13 - 1, 52 - 1) = "1", OFFSET($A$1, 13 - 1, 53 - 1) = "1" ), 1, IF( AND( OFFSET($A$1, 13 - 1, 52 - 1) = "1", OFFSET($A$1, 13 - 1, 53 - 1) = "0" ), 2, IF( AND( OFFSET($A$1, 13 - 1, 52 - 1) = "0", OFFSET($A$1, 13 - 1, 53 - 1) = "1" ), 3, 4 ) ) )</f>
        <v>4</v>
      </c>
      <c r="BD13" s="7">
        <v>0.13690871879649361</v>
      </c>
      <c r="BE13" s="7" t="str">
        <f>"0"</f>
        <v>0</v>
      </c>
      <c r="BF13" t="str">
        <f ca="1">IF((OFFSET($A$1, 13 - 1, 56 - 1)) &gt;= (OFFSET($A$1, 92 - 1, 7 - 1)), "1","0")</f>
        <v>0</v>
      </c>
      <c r="BG13">
        <f ca="1" xml:space="preserve"> IF( AND( OFFSET($A$1, 13 - 1, 57 - 1) = "1", OFFSET($A$1, 13 - 1, 58 - 1) = "1" ), 1, IF( AND( OFFSET($A$1, 13 - 1, 57 - 1) = "1", OFFSET($A$1, 13 - 1, 58 - 1) = "0" ), 2, IF( AND( OFFSET($A$1, 13 - 1, 57 - 1) = "0", OFFSET($A$1, 13 - 1, 58 - 1) = "1" ), 3, 4 ) ) )</f>
        <v>4</v>
      </c>
    </row>
    <row r="14" spans="2:59" x14ac:dyDescent="0.25">
      <c r="C14" s="14" t="s">
        <v>75</v>
      </c>
      <c r="D14" s="15"/>
      <c r="E14" s="15"/>
      <c r="F14" s="16"/>
      <c r="G14" s="20" t="s">
        <v>76</v>
      </c>
      <c r="H14" s="21"/>
      <c r="I14" s="21"/>
      <c r="J14" s="21"/>
      <c r="K14" s="22"/>
      <c r="AY14" s="7">
        <v>0.23800479968995475</v>
      </c>
      <c r="AZ14" s="7" t="str">
        <f>"1"</f>
        <v>1</v>
      </c>
      <c r="BA14" t="str">
        <f ca="1">IF((OFFSET($A$1, 14 - 1, 51 - 1)) &gt;= (OFFSET($A$1, 68 - 1, 7 - 1)), "1","0")</f>
        <v>0</v>
      </c>
      <c r="BB14">
        <f ca="1" xml:space="preserve"> IF( AND( OFFSET($A$1, 14 - 1, 52 - 1) = "1", OFFSET($A$1, 14 - 1, 53 - 1) = "1" ), 1, IF( AND( OFFSET($A$1, 14 - 1, 52 - 1) = "1", OFFSET($A$1, 14 - 1, 53 - 1) = "0" ), 2, IF( AND( OFFSET($A$1, 14 - 1, 52 - 1) = "0", OFFSET($A$1, 14 - 1, 53 - 1) = "1" ), 3, 4 ) ) )</f>
        <v>2</v>
      </c>
      <c r="BD14" s="7">
        <v>0.24731369849749185</v>
      </c>
      <c r="BE14" s="7" t="str">
        <f>"0"</f>
        <v>0</v>
      </c>
      <c r="BF14" t="str">
        <f ca="1">IF((OFFSET($A$1, 14 - 1, 56 - 1)) &gt;= (OFFSET($A$1, 92 - 1, 7 - 1)), "1","0")</f>
        <v>0</v>
      </c>
      <c r="BG14">
        <f ca="1" xml:space="preserve"> IF( AND( OFFSET($A$1, 14 - 1, 57 - 1) = "1", OFFSET($A$1, 14 - 1, 58 - 1) = "1" ), 1, IF( AND( OFFSET($A$1, 14 - 1, 57 - 1) = "1", OFFSET($A$1, 14 - 1, 58 - 1) = "0" ), 2, IF( AND( OFFSET($A$1, 14 - 1, 57 - 1) = "0", OFFSET($A$1, 14 - 1, 58 - 1) = "1" ), 3, 4 ) ) )</f>
        <v>4</v>
      </c>
    </row>
    <row r="15" spans="2:59" x14ac:dyDescent="0.25">
      <c r="C15" s="14" t="s">
        <v>77</v>
      </c>
      <c r="D15" s="15"/>
      <c r="E15" s="15"/>
      <c r="F15" s="16"/>
      <c r="G15" s="20" t="s">
        <v>78</v>
      </c>
      <c r="H15" s="21"/>
      <c r="I15" s="21"/>
      <c r="J15" s="21"/>
      <c r="K15" s="22"/>
      <c r="AY15" s="7">
        <v>0.18065350796987542</v>
      </c>
      <c r="AZ15" s="7" t="str">
        <f>"1"</f>
        <v>1</v>
      </c>
      <c r="BA15" t="str">
        <f ca="1">IF((OFFSET($A$1, 15 - 1, 51 - 1)) &gt;= (OFFSET($A$1, 68 - 1, 7 - 1)), "1","0")</f>
        <v>0</v>
      </c>
      <c r="BB15">
        <f ca="1" xml:space="preserve"> IF( AND( OFFSET($A$1, 15 - 1, 52 - 1) = "1", OFFSET($A$1, 15 - 1, 53 - 1) = "1" ), 1, IF( AND( OFFSET($A$1, 15 - 1, 52 - 1) = "1", OFFSET($A$1, 15 - 1, 53 - 1) = "0" ), 2, IF( AND( OFFSET($A$1, 15 - 1, 52 - 1) = "0", OFFSET($A$1, 15 - 1, 53 - 1) = "1" ), 3, 4 ) ) )</f>
        <v>2</v>
      </c>
      <c r="BD15" s="7">
        <v>0.2484943399125106</v>
      </c>
      <c r="BE15" s="7" t="str">
        <f>"0"</f>
        <v>0</v>
      </c>
      <c r="BF15" t="str">
        <f ca="1">IF((OFFSET($A$1, 15 - 1, 56 - 1)) &gt;= (OFFSET($A$1, 92 - 1, 7 - 1)), "1","0")</f>
        <v>0</v>
      </c>
      <c r="BG15">
        <f ca="1" xml:space="preserve"> IF( AND( OFFSET($A$1, 15 - 1, 57 - 1) = "1", OFFSET($A$1, 15 - 1, 58 - 1) = "1" ), 1, IF( AND( OFFSET($A$1, 15 - 1, 57 - 1) = "1", OFFSET($A$1, 15 - 1, 58 - 1) = "0" ), 2, IF( AND( OFFSET($A$1, 15 - 1, 57 - 1) = "0", OFFSET($A$1, 15 - 1, 58 - 1) = "1" ), 3, 4 ) ) )</f>
        <v>4</v>
      </c>
    </row>
    <row r="16" spans="2:59" x14ac:dyDescent="0.25">
      <c r="C16" s="14" t="s">
        <v>79</v>
      </c>
      <c r="D16" s="15"/>
      <c r="E16" s="15"/>
      <c r="F16" s="16"/>
      <c r="G16" s="20">
        <v>300</v>
      </c>
      <c r="H16" s="21"/>
      <c r="I16" s="21"/>
      <c r="J16" s="21"/>
      <c r="K16" s="22"/>
      <c r="AY16" s="7">
        <v>0.21580279613996525</v>
      </c>
      <c r="AZ16" s="7" t="str">
        <f>"0"</f>
        <v>0</v>
      </c>
      <c r="BA16" t="str">
        <f ca="1">IF((OFFSET($A$1, 16 - 1, 51 - 1)) &gt;= (OFFSET($A$1, 68 - 1, 7 - 1)), "1","0")</f>
        <v>0</v>
      </c>
      <c r="BB16">
        <f ca="1" xml:space="preserve"> IF( AND( OFFSET($A$1, 16 - 1, 52 - 1) = "1", OFFSET($A$1, 16 - 1, 53 - 1) = "1" ), 1, IF( AND( OFFSET($A$1, 16 - 1, 52 - 1) = "1", OFFSET($A$1, 16 - 1, 53 - 1) = "0" ), 2, IF( AND( OFFSET($A$1, 16 - 1, 52 - 1) = "0", OFFSET($A$1, 16 - 1, 53 - 1) = "1" ), 3, 4 ) ) )</f>
        <v>4</v>
      </c>
      <c r="BD16" s="7">
        <v>0.27038360799655531</v>
      </c>
      <c r="BE16" s="7" t="str">
        <f>"0"</f>
        <v>0</v>
      </c>
      <c r="BF16" t="str">
        <f ca="1">IF((OFFSET($A$1, 16 - 1, 56 - 1)) &gt;= (OFFSET($A$1, 92 - 1, 7 - 1)), "1","0")</f>
        <v>0</v>
      </c>
      <c r="BG16">
        <f ca="1" xml:space="preserve"> IF( AND( OFFSET($A$1, 16 - 1, 57 - 1) = "1", OFFSET($A$1, 16 - 1, 58 - 1) = "1" ), 1, IF( AND( OFFSET($A$1, 16 - 1, 57 - 1) = "1", OFFSET($A$1, 16 - 1, 58 - 1) = "0" ), 2, IF( AND( OFFSET($A$1, 16 - 1, 57 - 1) = "0", OFFSET($A$1, 16 - 1, 58 - 1) = "1" ), 3, 4 ) ) )</f>
        <v>4</v>
      </c>
    </row>
    <row r="17" spans="3:59" x14ac:dyDescent="0.25">
      <c r="C17" s="14" t="s">
        <v>80</v>
      </c>
      <c r="D17" s="15"/>
      <c r="E17" s="15"/>
      <c r="F17" s="16"/>
      <c r="G17" s="20" t="s">
        <v>81</v>
      </c>
      <c r="H17" s="21"/>
      <c r="I17" s="21"/>
      <c r="J17" s="21"/>
      <c r="K17" s="22"/>
      <c r="AY17" s="7">
        <v>0.21049287747773754</v>
      </c>
      <c r="AZ17" s="7" t="str">
        <f>"1"</f>
        <v>1</v>
      </c>
      <c r="BA17" t="str">
        <f ca="1">IF((OFFSET($A$1, 17 - 1, 51 - 1)) &gt;= (OFFSET($A$1, 68 - 1, 7 - 1)), "1","0")</f>
        <v>0</v>
      </c>
      <c r="BB17">
        <f ca="1" xml:space="preserve"> IF( AND( OFFSET($A$1, 17 - 1, 52 - 1) = "1", OFFSET($A$1, 17 - 1, 53 - 1) = "1" ), 1, IF( AND( OFFSET($A$1, 17 - 1, 52 - 1) = "1", OFFSET($A$1, 17 - 1, 53 - 1) = "0" ), 2, IF( AND( OFFSET($A$1, 17 - 1, 52 - 1) = "0", OFFSET($A$1, 17 - 1, 53 - 1) = "1" ), 3, 4 ) ) )</f>
        <v>2</v>
      </c>
      <c r="BD17" s="7">
        <v>0.21154714473978944</v>
      </c>
      <c r="BE17" s="7" t="str">
        <f>"1"</f>
        <v>1</v>
      </c>
      <c r="BF17" t="str">
        <f ca="1">IF((OFFSET($A$1, 17 - 1, 56 - 1)) &gt;= (OFFSET($A$1, 92 - 1, 7 - 1)), "1","0")</f>
        <v>0</v>
      </c>
      <c r="BG17">
        <f ca="1" xml:space="preserve"> IF( AND( OFFSET($A$1, 17 - 1, 57 - 1) = "1", OFFSET($A$1, 17 - 1, 58 - 1) = "1" ), 1, IF( AND( OFFSET($A$1, 17 - 1, 57 - 1) = "1", OFFSET($A$1, 17 - 1, 58 - 1) = "0" ), 2, IF( AND( OFFSET($A$1, 17 - 1, 57 - 1) = "0", OFFSET($A$1, 17 - 1, 58 - 1) = "1" ), 3, 4 ) ) )</f>
        <v>2</v>
      </c>
    </row>
    <row r="18" spans="3:59" x14ac:dyDescent="0.25">
      <c r="C18" s="14" t="s">
        <v>82</v>
      </c>
      <c r="D18" s="15"/>
      <c r="E18" s="15"/>
      <c r="F18" s="16"/>
      <c r="G18" s="20">
        <v>200</v>
      </c>
      <c r="H18" s="21"/>
      <c r="I18" s="21"/>
      <c r="J18" s="21"/>
      <c r="K18" s="22"/>
      <c r="AY18" s="7">
        <v>0.21687635285058307</v>
      </c>
      <c r="AZ18" s="7" t="str">
        <f>"1"</f>
        <v>1</v>
      </c>
      <c r="BA18" t="str">
        <f ca="1">IF((OFFSET($A$1, 18 - 1, 51 - 1)) &gt;= (OFFSET($A$1, 68 - 1, 7 - 1)), "1","0")</f>
        <v>0</v>
      </c>
      <c r="BB18">
        <f ca="1" xml:space="preserve"> IF( AND( OFFSET($A$1, 18 - 1, 52 - 1) = "1", OFFSET($A$1, 18 - 1, 53 - 1) = "1" ), 1, IF( AND( OFFSET($A$1, 18 - 1, 52 - 1) = "1", OFFSET($A$1, 18 - 1, 53 - 1) = "0" ), 2, IF( AND( OFFSET($A$1, 18 - 1, 52 - 1) = "0", OFFSET($A$1, 18 - 1, 53 - 1) = "1" ), 3, 4 ) ) )</f>
        <v>2</v>
      </c>
      <c r="BD18" s="7">
        <v>0.23118302117627954</v>
      </c>
      <c r="BE18" s="7" t="str">
        <f>"0"</f>
        <v>0</v>
      </c>
      <c r="BF18" t="str">
        <f ca="1">IF((OFFSET($A$1, 18 - 1, 56 - 1)) &gt;= (OFFSET($A$1, 92 - 1, 7 - 1)), "1","0")</f>
        <v>0</v>
      </c>
      <c r="BG18">
        <f ca="1" xml:space="preserve"> IF( AND( OFFSET($A$1, 18 - 1, 57 - 1) = "1", OFFSET($A$1, 18 - 1, 58 - 1) = "1" ), 1, IF( AND( OFFSET($A$1, 18 - 1, 57 - 1) = "1", OFFSET($A$1, 18 - 1, 58 - 1) = "0" ), 2, IF( AND( OFFSET($A$1, 18 - 1, 57 - 1) = "0", OFFSET($A$1, 18 - 1, 58 - 1) = "1" ), 3, 4 ) ) )</f>
        <v>4</v>
      </c>
    </row>
    <row r="19" spans="3:59" x14ac:dyDescent="0.25">
      <c r="AY19" s="7">
        <v>0.19613797039107678</v>
      </c>
      <c r="AZ19" s="7" t="str">
        <f>"0"</f>
        <v>0</v>
      </c>
      <c r="BA19" t="str">
        <f ca="1">IF((OFFSET($A$1, 19 - 1, 51 - 1)) &gt;= (OFFSET($A$1, 68 - 1, 7 - 1)), "1","0")</f>
        <v>0</v>
      </c>
      <c r="BB19">
        <f ca="1" xml:space="preserve"> IF( AND( OFFSET($A$1, 19 - 1, 52 - 1) = "1", OFFSET($A$1, 19 - 1, 53 - 1) = "1" ), 1, IF( AND( OFFSET($A$1, 19 - 1, 52 - 1) = "1", OFFSET($A$1, 19 - 1, 53 - 1) = "0" ), 2, IF( AND( OFFSET($A$1, 19 - 1, 52 - 1) = "0", OFFSET($A$1, 19 - 1, 53 - 1) = "1" ), 3, 4 ) ) )</f>
        <v>4</v>
      </c>
      <c r="BD19" s="7">
        <v>0.19217507898421096</v>
      </c>
      <c r="BE19" s="7" t="str">
        <f>"1"</f>
        <v>1</v>
      </c>
      <c r="BF19" t="str">
        <f ca="1">IF((OFFSET($A$1, 19 - 1, 56 - 1)) &gt;= (OFFSET($A$1, 92 - 1, 7 - 1)), "1","0")</f>
        <v>0</v>
      </c>
      <c r="BG19">
        <f ca="1" xml:space="preserve"> IF( AND( OFFSET($A$1, 19 - 1, 57 - 1) = "1", OFFSET($A$1, 19 - 1, 58 - 1) = "1" ), 1, IF( AND( OFFSET($A$1, 19 - 1, 57 - 1) = "1", OFFSET($A$1, 19 - 1, 58 - 1) = "0" ), 2, IF( AND( OFFSET($A$1, 19 - 1, 57 - 1) = "0", OFFSET($A$1, 19 - 1, 58 - 1) = "1" ), 3, 4 ) ) )</f>
        <v>2</v>
      </c>
    </row>
    <row r="20" spans="3:59" x14ac:dyDescent="0.25">
      <c r="C20" s="11" t="s">
        <v>83</v>
      </c>
      <c r="D20" s="12"/>
      <c r="E20" s="13"/>
      <c r="AY20" s="7">
        <v>0.24379442904804977</v>
      </c>
      <c r="AZ20" s="7" t="str">
        <f>"0"</f>
        <v>0</v>
      </c>
      <c r="BA20" t="str">
        <f ca="1">IF((OFFSET($A$1, 20 - 1, 51 - 1)) &gt;= (OFFSET($A$1, 68 - 1, 7 - 1)), "1","0")</f>
        <v>0</v>
      </c>
      <c r="BB20">
        <f ca="1" xml:space="preserve"> IF( AND( OFFSET($A$1, 20 - 1, 52 - 1) = "1", OFFSET($A$1, 20 - 1, 53 - 1) = "1" ), 1, IF( AND( OFFSET($A$1, 20 - 1, 52 - 1) = "1", OFFSET($A$1, 20 - 1, 53 - 1) = "0" ), 2, IF( AND( OFFSET($A$1, 20 - 1, 52 - 1) = "0", OFFSET($A$1, 20 - 1, 53 - 1) = "1" ), 3, 4 ) ) )</f>
        <v>4</v>
      </c>
      <c r="BD20" s="7">
        <v>0.17785866534839434</v>
      </c>
      <c r="BE20" s="7" t="str">
        <f>"0"</f>
        <v>0</v>
      </c>
      <c r="BF20" t="str">
        <f ca="1">IF((OFFSET($A$1, 20 - 1, 56 - 1)) &gt;= (OFFSET($A$1, 92 - 1, 7 - 1)), "1","0")</f>
        <v>0</v>
      </c>
      <c r="BG20">
        <f ca="1" xml:space="preserve"> IF( AND( OFFSET($A$1, 20 - 1, 57 - 1) = "1", OFFSET($A$1, 20 - 1, 58 - 1) = "1" ), 1, IF( AND( OFFSET($A$1, 20 - 1, 57 - 1) = "1", OFFSET($A$1, 20 - 1, 58 - 1) = "0" ), 2, IF( AND( OFFSET($A$1, 20 - 1, 57 - 1) = "0", OFFSET($A$1, 20 - 1, 58 - 1) = "1" ), 3, 4 ) ) )</f>
        <v>4</v>
      </c>
    </row>
    <row r="21" spans="3:59" x14ac:dyDescent="0.25">
      <c r="C21" s="14" t="s">
        <v>84</v>
      </c>
      <c r="D21" s="16"/>
      <c r="E21" s="8">
        <v>1</v>
      </c>
      <c r="AY21" s="7">
        <v>0.15013318399277006</v>
      </c>
      <c r="AZ21" s="7" t="str">
        <f>"0"</f>
        <v>0</v>
      </c>
      <c r="BA21" t="str">
        <f ca="1">IF((OFFSET($A$1, 21 - 1, 51 - 1)) &gt;= (OFFSET($A$1, 68 - 1, 7 - 1)), "1","0")</f>
        <v>0</v>
      </c>
      <c r="BB21">
        <f ca="1" xml:space="preserve"> IF( AND( OFFSET($A$1, 21 - 1, 52 - 1) = "1", OFFSET($A$1, 21 - 1, 53 - 1) = "1" ), 1, IF( AND( OFFSET($A$1, 21 - 1, 52 - 1) = "1", OFFSET($A$1, 21 - 1, 53 - 1) = "0" ), 2, IF( AND( OFFSET($A$1, 21 - 1, 52 - 1) = "0", OFFSET($A$1, 21 - 1, 53 - 1) = "1" ), 3, 4 ) ) )</f>
        <v>4</v>
      </c>
      <c r="BD21" s="7">
        <v>0.1797181087064097</v>
      </c>
      <c r="BE21" s="7" t="str">
        <f>"1"</f>
        <v>1</v>
      </c>
      <c r="BF21" t="str">
        <f ca="1">IF((OFFSET($A$1, 21 - 1, 56 - 1)) &gt;= (OFFSET($A$1, 92 - 1, 7 - 1)), "1","0")</f>
        <v>0</v>
      </c>
      <c r="BG21">
        <f ca="1" xml:space="preserve"> IF( AND( OFFSET($A$1, 21 - 1, 57 - 1) = "1", OFFSET($A$1, 21 - 1, 58 - 1) = "1" ), 1, IF( AND( OFFSET($A$1, 21 - 1, 57 - 1) = "1", OFFSET($A$1, 21 - 1, 58 - 1) = "0" ), 2, IF( AND( OFFSET($A$1, 21 - 1, 57 - 1) = "0", OFFSET($A$1, 21 - 1, 58 - 1) = "1" ), 3, 4 ) ) )</f>
        <v>2</v>
      </c>
    </row>
    <row r="22" spans="3:59" x14ac:dyDescent="0.25">
      <c r="C22" s="14" t="s">
        <v>85</v>
      </c>
      <c r="D22" s="16"/>
      <c r="E22" s="7" t="s">
        <v>0</v>
      </c>
      <c r="AY22" s="7">
        <v>0.24967874791753278</v>
      </c>
      <c r="AZ22" s="7" t="str">
        <f>"1"</f>
        <v>1</v>
      </c>
      <c r="BA22" t="str">
        <f ca="1">IF((OFFSET($A$1, 22 - 1, 51 - 1)) &gt;= (OFFSET($A$1, 68 - 1, 7 - 1)), "1","0")</f>
        <v>0</v>
      </c>
      <c r="BB22">
        <f ca="1" xml:space="preserve"> IF( AND( OFFSET($A$1, 22 - 1, 52 - 1) = "1", OFFSET($A$1, 22 - 1, 53 - 1) = "1" ), 1, IF( AND( OFFSET($A$1, 22 - 1, 52 - 1) = "1", OFFSET($A$1, 22 - 1, 53 - 1) = "0" ), 2, IF( AND( OFFSET($A$1, 22 - 1, 52 - 1) = "0", OFFSET($A$1, 22 - 1, 53 - 1) = "1" ), 3, 4 ) ) )</f>
        <v>2</v>
      </c>
      <c r="BD22" s="7">
        <v>0.17601433243372858</v>
      </c>
      <c r="BE22" s="7" t="str">
        <f>"0"</f>
        <v>0</v>
      </c>
      <c r="BF22" t="str">
        <f ca="1">IF((OFFSET($A$1, 22 - 1, 56 - 1)) &gt;= (OFFSET($A$1, 92 - 1, 7 - 1)), "1","0")</f>
        <v>0</v>
      </c>
      <c r="BG22">
        <f ca="1" xml:space="preserve"> IF( AND( OFFSET($A$1, 22 - 1, 57 - 1) = "1", OFFSET($A$1, 22 - 1, 58 - 1) = "1" ), 1, IF( AND( OFFSET($A$1, 22 - 1, 57 - 1) = "1", OFFSET($A$1, 22 - 1, 58 - 1) = "0" ), 2, IF( AND( OFFSET($A$1, 22 - 1, 57 - 1) = "0", OFFSET($A$1, 22 - 1, 58 - 1) = "1" ), 3, 4 ) ) )</f>
        <v>4</v>
      </c>
    </row>
    <row r="23" spans="3:59" x14ac:dyDescent="0.25">
      <c r="C23" s="14" t="s">
        <v>86</v>
      </c>
      <c r="D23" s="16"/>
      <c r="E23" s="7" t="s">
        <v>3</v>
      </c>
      <c r="AY23" s="7">
        <v>0.18538744712211713</v>
      </c>
      <c r="AZ23" s="7" t="str">
        <f>"1"</f>
        <v>1</v>
      </c>
      <c r="BA23" t="str">
        <f ca="1">IF((OFFSET($A$1, 23 - 1, 51 - 1)) &gt;= (OFFSET($A$1, 68 - 1, 7 - 1)), "1","0")</f>
        <v>0</v>
      </c>
      <c r="BB23">
        <f ca="1" xml:space="preserve"> IF( AND( OFFSET($A$1, 23 - 1, 52 - 1) = "1", OFFSET($A$1, 23 - 1, 53 - 1) = "1" ), 1, IF( AND( OFFSET($A$1, 23 - 1, 52 - 1) = "1", OFFSET($A$1, 23 - 1, 53 - 1) = "0" ), 2, IF( AND( OFFSET($A$1, 23 - 1, 52 - 1) = "0", OFFSET($A$1, 23 - 1, 53 - 1) = "1" ), 3, 4 ) ) )</f>
        <v>2</v>
      </c>
      <c r="BD23" s="7">
        <v>0.11276171513011904</v>
      </c>
      <c r="BE23" s="7" t="str">
        <f>"0"</f>
        <v>0</v>
      </c>
      <c r="BF23" t="str">
        <f ca="1">IF((OFFSET($A$1, 23 - 1, 56 - 1)) &gt;= (OFFSET($A$1, 92 - 1, 7 - 1)), "1","0")</f>
        <v>0</v>
      </c>
      <c r="BG23">
        <f ca="1" xml:space="preserve"> IF( AND( OFFSET($A$1, 23 - 1, 57 - 1) = "1", OFFSET($A$1, 23 - 1, 58 - 1) = "1" ), 1, IF( AND( OFFSET($A$1, 23 - 1, 57 - 1) = "1", OFFSET($A$1, 23 - 1, 58 - 1) = "0" ), 2, IF( AND( OFFSET($A$1, 23 - 1, 57 - 1) = "0", OFFSET($A$1, 23 - 1, 58 - 1) = "1" ), 3, 4 ) ) )</f>
        <v>4</v>
      </c>
    </row>
    <row r="24" spans="3:59" x14ac:dyDescent="0.25">
      <c r="AY24" s="7">
        <v>0.17327608298152103</v>
      </c>
      <c r="AZ24" s="7" t="str">
        <f>"0"</f>
        <v>0</v>
      </c>
      <c r="BA24" t="str">
        <f ca="1">IF((OFFSET($A$1, 24 - 1, 51 - 1)) &gt;= (OFFSET($A$1, 68 - 1, 7 - 1)), "1","0")</f>
        <v>0</v>
      </c>
      <c r="BB24">
        <f ca="1" xml:space="preserve"> IF( AND( OFFSET($A$1, 24 - 1, 52 - 1) = "1", OFFSET($A$1, 24 - 1, 53 - 1) = "1" ), 1, IF( AND( OFFSET($A$1, 24 - 1, 52 - 1) = "1", OFFSET($A$1, 24 - 1, 53 - 1) = "0" ), 2, IF( AND( OFFSET($A$1, 24 - 1, 52 - 1) = "0", OFFSET($A$1, 24 - 1, 53 - 1) = "1" ), 3, 4 ) ) )</f>
        <v>4</v>
      </c>
      <c r="BD24" s="7">
        <v>0.22449916434440828</v>
      </c>
      <c r="BE24" s="7" t="str">
        <f>"0"</f>
        <v>0</v>
      </c>
      <c r="BF24" t="str">
        <f ca="1">IF((OFFSET($A$1, 24 - 1, 56 - 1)) &gt;= (OFFSET($A$1, 92 - 1, 7 - 1)), "1","0")</f>
        <v>0</v>
      </c>
      <c r="BG24">
        <f ca="1" xml:space="preserve"> IF( AND( OFFSET($A$1, 24 - 1, 57 - 1) = "1", OFFSET($A$1, 24 - 1, 58 - 1) = "1" ), 1, IF( AND( OFFSET($A$1, 24 - 1, 57 - 1) = "1", OFFSET($A$1, 24 - 1, 58 - 1) = "0" ), 2, IF( AND( OFFSET($A$1, 24 - 1, 57 - 1) = "0", OFFSET($A$1, 24 - 1, 58 - 1) = "1" ), 3, 4 ) ) )</f>
        <v>4</v>
      </c>
    </row>
    <row r="25" spans="3:59" x14ac:dyDescent="0.25">
      <c r="C25" s="11" t="s">
        <v>87</v>
      </c>
      <c r="D25" s="12"/>
      <c r="E25" s="12"/>
      <c r="F25" s="12"/>
      <c r="G25" s="12"/>
      <c r="H25" s="12"/>
      <c r="I25" s="12"/>
      <c r="J25" s="13"/>
      <c r="AY25" s="7">
        <v>0.10478468166845953</v>
      </c>
      <c r="AZ25" s="7" t="str">
        <f>"0"</f>
        <v>0</v>
      </c>
      <c r="BA25" t="str">
        <f ca="1">IF((OFFSET($A$1, 25 - 1, 51 - 1)) &gt;= (OFFSET($A$1, 68 - 1, 7 - 1)), "1","0")</f>
        <v>0</v>
      </c>
      <c r="BB25">
        <f ca="1" xml:space="preserve"> IF( AND( OFFSET($A$1, 25 - 1, 52 - 1) = "1", OFFSET($A$1, 25 - 1, 53 - 1) = "1" ), 1, IF( AND( OFFSET($A$1, 25 - 1, 52 - 1) = "1", OFFSET($A$1, 25 - 1, 53 - 1) = "0" ), 2, IF( AND( OFFSET($A$1, 25 - 1, 52 - 1) = "0", OFFSET($A$1, 25 - 1, 53 - 1) = "1" ), 3, 4 ) ) )</f>
        <v>4</v>
      </c>
      <c r="BD25" s="7">
        <v>0.21687635285058307</v>
      </c>
      <c r="BE25" s="7" t="str">
        <f>"1"</f>
        <v>1</v>
      </c>
      <c r="BF25" t="str">
        <f ca="1">IF((OFFSET($A$1, 25 - 1, 56 - 1)) &gt;= (OFFSET($A$1, 92 - 1, 7 - 1)), "1","0")</f>
        <v>0</v>
      </c>
      <c r="BG25">
        <f ca="1" xml:space="preserve"> IF( AND( OFFSET($A$1, 25 - 1, 57 - 1) = "1", OFFSET($A$1, 25 - 1, 58 - 1) = "1" ), 1, IF( AND( OFFSET($A$1, 25 - 1, 57 - 1) = "1", OFFSET($A$1, 25 - 1, 58 - 1) = "0" ), 2, IF( AND( OFFSET($A$1, 25 - 1, 57 - 1) = "0", OFFSET($A$1, 25 - 1, 58 - 1) = "1" ), 3, 4 ) ) )</f>
        <v>2</v>
      </c>
    </row>
    <row r="26" spans="3:59" x14ac:dyDescent="0.25">
      <c r="C26" s="14" t="s">
        <v>88</v>
      </c>
      <c r="D26" s="15"/>
      <c r="E26" s="15"/>
      <c r="F26" s="16"/>
      <c r="G26" s="20" t="s">
        <v>89</v>
      </c>
      <c r="H26" s="21"/>
      <c r="I26" s="21"/>
      <c r="J26" s="22"/>
      <c r="AY26" s="7">
        <v>0.19021663773395503</v>
      </c>
      <c r="AZ26" s="7" t="str">
        <f>"0"</f>
        <v>0</v>
      </c>
      <c r="BA26" t="str">
        <f ca="1">IF((OFFSET($A$1, 26 - 1, 51 - 1)) &gt;= (OFFSET($A$1, 68 - 1, 7 - 1)), "1","0")</f>
        <v>0</v>
      </c>
      <c r="BB26">
        <f ca="1" xml:space="preserve"> IF( AND( OFFSET($A$1, 26 - 1, 52 - 1) = "1", OFFSET($A$1, 26 - 1, 53 - 1) = "1" ), 1, IF( AND( OFFSET($A$1, 26 - 1, 52 - 1) = "1", OFFSET($A$1, 26 - 1, 53 - 1) = "0" ), 2, IF( AND( OFFSET($A$1, 26 - 1, 52 - 1) = "0", OFFSET($A$1, 26 - 1, 53 - 1) = "1" ), 3, 4 ) ) )</f>
        <v>4</v>
      </c>
      <c r="BD26" s="7">
        <v>0.19119394354449384</v>
      </c>
      <c r="BE26" s="7" t="str">
        <f>"0"</f>
        <v>0</v>
      </c>
      <c r="BF26" t="str">
        <f ca="1">IF((OFFSET($A$1, 26 - 1, 56 - 1)) &gt;= (OFFSET($A$1, 92 - 1, 7 - 1)), "1","0")</f>
        <v>0</v>
      </c>
      <c r="BG26">
        <f ca="1" xml:space="preserve"> IF( AND( OFFSET($A$1, 26 - 1, 57 - 1) = "1", OFFSET($A$1, 26 - 1, 58 - 1) = "1" ), 1, IF( AND( OFFSET($A$1, 26 - 1, 57 - 1) = "1", OFFSET($A$1, 26 - 1, 58 - 1) = "0" ), 2, IF( AND( OFFSET($A$1, 26 - 1, 57 - 1) = "0", OFFSET($A$1, 26 - 1, 58 - 1) = "1" ), 3, 4 ) ) )</f>
        <v>4</v>
      </c>
    </row>
    <row r="27" spans="3:59" x14ac:dyDescent="0.25">
      <c r="C27" s="14" t="s">
        <v>90</v>
      </c>
      <c r="D27" s="15"/>
      <c r="E27" s="15"/>
      <c r="F27" s="16"/>
      <c r="G27" s="20">
        <v>95</v>
      </c>
      <c r="H27" s="21"/>
      <c r="I27" s="21"/>
      <c r="J27" s="22"/>
      <c r="AY27" s="7">
        <v>0.16790078346362572</v>
      </c>
      <c r="AZ27" s="7" t="str">
        <f>"0"</f>
        <v>0</v>
      </c>
      <c r="BA27" t="str">
        <f ca="1">IF((OFFSET($A$1, 27 - 1, 51 - 1)) &gt;= (OFFSET($A$1, 68 - 1, 7 - 1)), "1","0")</f>
        <v>0</v>
      </c>
      <c r="BB27">
        <f ca="1" xml:space="preserve"> IF( AND( OFFSET($A$1, 27 - 1, 52 - 1) = "1", OFFSET($A$1, 27 - 1, 53 - 1) = "1" ), 1, IF( AND( OFFSET($A$1, 27 - 1, 52 - 1) = "1", OFFSET($A$1, 27 - 1, 53 - 1) = "0" ), 2, IF( AND( OFFSET($A$1, 27 - 1, 52 - 1) = "0", OFFSET($A$1, 27 - 1, 53 - 1) = "1" ), 3, 4 ) ) )</f>
        <v>4</v>
      </c>
      <c r="BD27" s="7">
        <v>0.11992069671141484</v>
      </c>
      <c r="BE27" s="7" t="str">
        <f>"0"</f>
        <v>0</v>
      </c>
      <c r="BF27" t="str">
        <f ca="1">IF((OFFSET($A$1, 27 - 1, 56 - 1)) &gt;= (OFFSET($A$1, 92 - 1, 7 - 1)), "1","0")</f>
        <v>0</v>
      </c>
      <c r="BG27">
        <f ca="1" xml:space="preserve"> IF( AND( OFFSET($A$1, 27 - 1, 57 - 1) = "1", OFFSET($A$1, 27 - 1, 58 - 1) = "1" ), 1, IF( AND( OFFSET($A$1, 27 - 1, 57 - 1) = "1", OFFSET($A$1, 27 - 1, 58 - 1) = "0" ), 2, IF( AND( OFFSET($A$1, 27 - 1, 57 - 1) = "0", OFFSET($A$1, 27 - 1, 58 - 1) = "1" ), 3, 4 ) ) )</f>
        <v>4</v>
      </c>
    </row>
    <row r="28" spans="3:59" x14ac:dyDescent="0.25">
      <c r="C28" s="14" t="s">
        <v>91</v>
      </c>
      <c r="D28" s="15"/>
      <c r="E28" s="15"/>
      <c r="F28" s="16"/>
      <c r="G28" s="20">
        <v>50</v>
      </c>
      <c r="H28" s="21"/>
      <c r="I28" s="21"/>
      <c r="J28" s="22"/>
      <c r="AY28" s="7">
        <v>0.16790078346362572</v>
      </c>
      <c r="AZ28" s="7" t="str">
        <f>"0"</f>
        <v>0</v>
      </c>
      <c r="BA28" t="str">
        <f ca="1">IF((OFFSET($A$1, 28 - 1, 51 - 1)) &gt;= (OFFSET($A$1, 68 - 1, 7 - 1)), "1","0")</f>
        <v>0</v>
      </c>
      <c r="BB28">
        <f ca="1" xml:space="preserve"> IF( AND( OFFSET($A$1, 28 - 1, 52 - 1) = "1", OFFSET($A$1, 28 - 1, 53 - 1) = "1" ), 1, IF( AND( OFFSET($A$1, 28 - 1, 52 - 1) = "1", OFFSET($A$1, 28 - 1, 53 - 1) = "0" ), 2, IF( AND( OFFSET($A$1, 28 - 1, 52 - 1) = "0", OFFSET($A$1, 28 - 1, 53 - 1) = "1" ), 3, 4 ) ) )</f>
        <v>4</v>
      </c>
      <c r="BD28" s="7">
        <v>0.19217507898421096</v>
      </c>
      <c r="BE28" s="7" t="str">
        <f>"0"</f>
        <v>0</v>
      </c>
      <c r="BF28" t="str">
        <f ca="1">IF((OFFSET($A$1, 28 - 1, 56 - 1)) &gt;= (OFFSET($A$1, 92 - 1, 7 - 1)), "1","0")</f>
        <v>0</v>
      </c>
      <c r="BG28">
        <f ca="1" xml:space="preserve"> IF( AND( OFFSET($A$1, 28 - 1, 57 - 1) = "1", OFFSET($A$1, 28 - 1, 58 - 1) = "1" ), 1, IF( AND( OFFSET($A$1, 28 - 1, 57 - 1) = "1", OFFSET($A$1, 28 - 1, 58 - 1) = "0" ), 2, IF( AND( OFFSET($A$1, 28 - 1, 57 - 1) = "0", OFFSET($A$1, 28 - 1, 58 - 1) = "1" ), 3, 4 ) ) )</f>
        <v>4</v>
      </c>
    </row>
    <row r="29" spans="3:59" x14ac:dyDescent="0.25">
      <c r="C29" s="14" t="s">
        <v>92</v>
      </c>
      <c r="D29" s="15"/>
      <c r="E29" s="15"/>
      <c r="F29" s="16"/>
      <c r="G29" s="20" t="s">
        <v>89</v>
      </c>
      <c r="H29" s="21"/>
      <c r="I29" s="21"/>
      <c r="J29" s="22"/>
      <c r="AY29" s="7">
        <v>0.14613797832458675</v>
      </c>
      <c r="AZ29" s="7" t="str">
        <f>"0"</f>
        <v>0</v>
      </c>
      <c r="BA29" t="str">
        <f ca="1">IF((OFFSET($A$1, 29 - 1, 51 - 1)) &gt;= (OFFSET($A$1, 68 - 1, 7 - 1)), "1","0")</f>
        <v>0</v>
      </c>
      <c r="BB29">
        <f ca="1" xml:space="preserve"> IF( AND( OFFSET($A$1, 29 - 1, 52 - 1) = "1", OFFSET($A$1, 29 - 1, 53 - 1) = "1" ), 1, IF( AND( OFFSET($A$1, 29 - 1, 52 - 1) = "1", OFFSET($A$1, 29 - 1, 53 - 1) = "0" ), 2, IF( AND( OFFSET($A$1, 29 - 1, 52 - 1) = "0", OFFSET($A$1, 29 - 1, 53 - 1) = "1" ), 3, 4 ) ) )</f>
        <v>4</v>
      </c>
      <c r="BD29" s="7">
        <v>0.19713829282085699</v>
      </c>
      <c r="BE29" s="7" t="str">
        <f>"0"</f>
        <v>0</v>
      </c>
      <c r="BF29" t="str">
        <f ca="1">IF((OFFSET($A$1, 29 - 1, 56 - 1)) &gt;= (OFFSET($A$1, 92 - 1, 7 - 1)), "1","0")</f>
        <v>0</v>
      </c>
      <c r="BG29">
        <f ca="1" xml:space="preserve"> IF( AND( OFFSET($A$1, 29 - 1, 57 - 1) = "1", OFFSET($A$1, 29 - 1, 58 - 1) = "1" ), 1, IF( AND( OFFSET($A$1, 29 - 1, 57 - 1) = "1", OFFSET($A$1, 29 - 1, 58 - 1) = "0" ), 2, IF( AND( OFFSET($A$1, 29 - 1, 57 - 1) = "0", OFFSET($A$1, 29 - 1, 58 - 1) = "1" ), 3, 4 ) ) )</f>
        <v>4</v>
      </c>
    </row>
    <row r="30" spans="3:59" x14ac:dyDescent="0.25">
      <c r="C30" s="14" t="s">
        <v>98</v>
      </c>
      <c r="D30" s="15"/>
      <c r="E30" s="15"/>
      <c r="F30" s="16"/>
      <c r="G30" s="20" t="s">
        <v>89</v>
      </c>
      <c r="H30" s="21"/>
      <c r="I30" s="21"/>
      <c r="J30" s="22"/>
      <c r="AY30" s="7">
        <v>0.15339374070461942</v>
      </c>
      <c r="AZ30" s="7" t="str">
        <f>"0"</f>
        <v>0</v>
      </c>
      <c r="BA30" t="str">
        <f ca="1">IF((OFFSET($A$1, 30 - 1, 51 - 1)) &gt;= (OFFSET($A$1, 68 - 1, 7 - 1)), "1","0")</f>
        <v>0</v>
      </c>
      <c r="BB30">
        <f ca="1" xml:space="preserve"> IF( AND( OFFSET($A$1, 30 - 1, 52 - 1) = "1", OFFSET($A$1, 30 - 1, 53 - 1) = "1" ), 1, IF( AND( OFFSET($A$1, 30 - 1, 52 - 1) = "1", OFFSET($A$1, 30 - 1, 53 - 1) = "0" ), 2, IF( AND( OFFSET($A$1, 30 - 1, 52 - 1) = "0", OFFSET($A$1, 30 - 1, 53 - 1) = "1" ), 3, 4 ) ) )</f>
        <v>4</v>
      </c>
      <c r="BD30" s="7">
        <v>0.168787331886425</v>
      </c>
      <c r="BE30" s="7" t="str">
        <f>"0"</f>
        <v>0</v>
      </c>
      <c r="BF30" t="str">
        <f ca="1">IF((OFFSET($A$1, 30 - 1, 56 - 1)) &gt;= (OFFSET($A$1, 92 - 1, 7 - 1)), "1","0")</f>
        <v>0</v>
      </c>
      <c r="BG30">
        <f ca="1" xml:space="preserve"> IF( AND( OFFSET($A$1, 30 - 1, 57 - 1) = "1", OFFSET($A$1, 30 - 1, 58 - 1) = "1" ), 1, IF( AND( OFFSET($A$1, 30 - 1, 57 - 1) = "1", OFFSET($A$1, 30 - 1, 58 - 1) = "0" ), 2, IF( AND( OFFSET($A$1, 30 - 1, 57 - 1) = "0", OFFSET($A$1, 30 - 1, 58 - 1) = "1" ), 3, 4 ) ) )</f>
        <v>4</v>
      </c>
    </row>
    <row r="31" spans="3:59" x14ac:dyDescent="0.25">
      <c r="C31" s="14" t="s">
        <v>99</v>
      </c>
      <c r="D31" s="15"/>
      <c r="E31" s="15"/>
      <c r="F31" s="16"/>
      <c r="G31" s="20" t="s">
        <v>89</v>
      </c>
      <c r="H31" s="21"/>
      <c r="I31" s="21"/>
      <c r="J31" s="22"/>
      <c r="AY31" s="7">
        <v>0.1376586956846825</v>
      </c>
      <c r="AZ31" s="7" t="str">
        <f>"0"</f>
        <v>0</v>
      </c>
      <c r="BA31" t="str">
        <f ca="1">IF((OFFSET($A$1, 31 - 1, 51 - 1)) &gt;= (OFFSET($A$1, 68 - 1, 7 - 1)), "1","0")</f>
        <v>0</v>
      </c>
      <c r="BB31">
        <f ca="1" xml:space="preserve"> IF( AND( OFFSET($A$1, 31 - 1, 52 - 1) = "1", OFFSET($A$1, 31 - 1, 53 - 1) = "1" ), 1, IF( AND( OFFSET($A$1, 31 - 1, 52 - 1) = "1", OFFSET($A$1, 31 - 1, 53 - 1) = "0" ), 2, IF( AND( OFFSET($A$1, 31 - 1, 52 - 1) = "0", OFFSET($A$1, 31 - 1, 53 - 1) = "1" ), 3, 4 ) ) )</f>
        <v>4</v>
      </c>
      <c r="BD31" s="7">
        <v>0.21366725442465345</v>
      </c>
      <c r="BE31" s="7" t="str">
        <f>"0"</f>
        <v>0</v>
      </c>
      <c r="BF31" t="str">
        <f ca="1">IF((OFFSET($A$1, 31 - 1, 56 - 1)) &gt;= (OFFSET($A$1, 92 - 1, 7 - 1)), "1","0")</f>
        <v>0</v>
      </c>
      <c r="BG31">
        <f ca="1" xml:space="preserve"> IF( AND( OFFSET($A$1, 31 - 1, 57 - 1) = "1", OFFSET($A$1, 31 - 1, 58 - 1) = "1" ), 1, IF( AND( OFFSET($A$1, 31 - 1, 57 - 1) = "1", OFFSET($A$1, 31 - 1, 58 - 1) = "0" ), 2, IF( AND( OFFSET($A$1, 31 - 1, 57 - 1) = "0", OFFSET($A$1, 31 - 1, 58 - 1) = "1" ), 3, 4 ) ) )</f>
        <v>4</v>
      </c>
    </row>
    <row r="32" spans="3:59" x14ac:dyDescent="0.25">
      <c r="AY32" s="7">
        <v>0.18924315865356911</v>
      </c>
      <c r="AZ32" s="7" t="str">
        <f>"0"</f>
        <v>0</v>
      </c>
      <c r="BA32" t="str">
        <f ca="1">IF((OFFSET($A$1, 32 - 1, 51 - 1)) &gt;= (OFFSET($A$1, 68 - 1, 7 - 1)), "1","0")</f>
        <v>0</v>
      </c>
      <c r="BB32">
        <f ca="1" xml:space="preserve"> IF( AND( OFFSET($A$1, 32 - 1, 52 - 1) = "1", OFFSET($A$1, 32 - 1, 53 - 1) = "1" ), 1, IF( AND( OFFSET($A$1, 32 - 1, 52 - 1) = "1", OFFSET($A$1, 32 - 1, 53 - 1) = "0" ), 2, IF( AND( OFFSET($A$1, 32 - 1, 52 - 1) = "0", OFFSET($A$1, 32 - 1, 53 - 1) = "1" ), 3, 4 ) ) )</f>
        <v>4</v>
      </c>
      <c r="BD32" s="7">
        <v>0.28434257575731653</v>
      </c>
      <c r="BE32" s="7" t="str">
        <f>"0"</f>
        <v>0</v>
      </c>
      <c r="BF32" t="str">
        <f ca="1">IF((OFFSET($A$1, 32 - 1, 56 - 1)) &gt;= (OFFSET($A$1, 92 - 1, 7 - 1)), "1","0")</f>
        <v>0</v>
      </c>
      <c r="BG32">
        <f ca="1" xml:space="preserve"> IF( AND( OFFSET($A$1, 32 - 1, 57 - 1) = "1", OFFSET($A$1, 32 - 1, 58 - 1) = "1" ), 1, IF( AND( OFFSET($A$1, 32 - 1, 57 - 1) = "1", OFFSET($A$1, 32 - 1, 58 - 1) = "0" ), 2, IF( AND( OFFSET($A$1, 32 - 1, 57 - 1) = "0", OFFSET($A$1, 32 - 1, 58 - 1) = "1" ), 3, 4 ) ) )</f>
        <v>4</v>
      </c>
    </row>
    <row r="33" spans="2:59" x14ac:dyDescent="0.25">
      <c r="C33" s="11" t="s">
        <v>100</v>
      </c>
      <c r="D33" s="12"/>
      <c r="E33" s="12"/>
      <c r="F33" s="12"/>
      <c r="G33" s="13"/>
      <c r="AY33" s="7">
        <v>0.20117804359590838</v>
      </c>
      <c r="AZ33" s="7" t="str">
        <f>"0"</f>
        <v>0</v>
      </c>
      <c r="BA33" t="str">
        <f ca="1">IF((OFFSET($A$1, 33 - 1, 51 - 1)) &gt;= (OFFSET($A$1, 68 - 1, 7 - 1)), "1","0")</f>
        <v>0</v>
      </c>
      <c r="BB33">
        <f ca="1" xml:space="preserve"> IF( AND( OFFSET($A$1, 33 - 1, 52 - 1) = "1", OFFSET($A$1, 33 - 1, 53 - 1) = "1" ), 1, IF( AND( OFFSET($A$1, 33 - 1, 52 - 1) = "1", OFFSET($A$1, 33 - 1, 53 - 1) = "0" ), 2, IF( AND( OFFSET($A$1, 33 - 1, 52 - 1) = "0", OFFSET($A$1, 33 - 1, 53 - 1) = "1" ), 3, 4 ) ) )</f>
        <v>4</v>
      </c>
      <c r="BD33" s="7">
        <v>0.17057161408577867</v>
      </c>
      <c r="BE33" s="7" t="str">
        <f>"0"</f>
        <v>0</v>
      </c>
      <c r="BF33" t="str">
        <f ca="1">IF((OFFSET($A$1, 33 - 1, 56 - 1)) &gt;= (OFFSET($A$1, 92 - 1, 7 - 1)), "1","0")</f>
        <v>0</v>
      </c>
      <c r="BG33">
        <f ca="1" xml:space="preserve"> IF( AND( OFFSET($A$1, 33 - 1, 57 - 1) = "1", OFFSET($A$1, 33 - 1, 58 - 1) = "1" ), 1, IF( AND( OFFSET($A$1, 33 - 1, 57 - 1) = "1", OFFSET($A$1, 33 - 1, 58 - 1) = "0" ), 2, IF( AND( OFFSET($A$1, 33 - 1, 57 - 1) = "0", OFFSET($A$1, 33 - 1, 58 - 1) = "1" ), 3, 4 ) ) )</f>
        <v>4</v>
      </c>
    </row>
    <row r="34" spans="2:59" x14ac:dyDescent="0.25">
      <c r="C34" s="17" t="s">
        <v>101</v>
      </c>
      <c r="D34" s="18"/>
      <c r="E34" s="18"/>
      <c r="F34" s="18"/>
      <c r="G34" s="19"/>
      <c r="AY34" s="7">
        <v>0.21795376586115467</v>
      </c>
      <c r="AZ34" s="7" t="str">
        <f>"1"</f>
        <v>1</v>
      </c>
      <c r="BA34" t="str">
        <f ca="1">IF((OFFSET($A$1, 34 - 1, 51 - 1)) &gt;= (OFFSET($A$1, 68 - 1, 7 - 1)), "1","0")</f>
        <v>0</v>
      </c>
      <c r="BB34">
        <f ca="1" xml:space="preserve"> IF( AND( OFFSET($A$1, 34 - 1, 52 - 1) = "1", OFFSET($A$1, 34 - 1, 53 - 1) = "1" ), 1, IF( AND( OFFSET($A$1, 34 - 1, 52 - 1) = "1", OFFSET($A$1, 34 - 1, 53 - 1) = "0" ), 2, IF( AND( OFFSET($A$1, 34 - 1, 52 - 1) = "0", OFFSET($A$1, 34 - 1, 53 - 1) = "1" ), 3, 4 ) ) )</f>
        <v>2</v>
      </c>
      <c r="BD34" s="7">
        <v>0.22339863816801717</v>
      </c>
      <c r="BE34" s="7" t="str">
        <f>"1"</f>
        <v>1</v>
      </c>
      <c r="BF34" t="str">
        <f ca="1">IF((OFFSET($A$1, 34 - 1, 56 - 1)) &gt;= (OFFSET($A$1, 92 - 1, 7 - 1)), "1","0")</f>
        <v>0</v>
      </c>
      <c r="BG34">
        <f ca="1" xml:space="preserve"> IF( AND( OFFSET($A$1, 34 - 1, 57 - 1) = "1", OFFSET($A$1, 34 - 1, 58 - 1) = "1" ), 1, IF( AND( OFFSET($A$1, 34 - 1, 57 - 1) = "1", OFFSET($A$1, 34 - 1, 58 - 1) = "0" ), 2, IF( AND( OFFSET($A$1, 34 - 1, 57 - 1) = "0", OFFSET($A$1, 34 - 1, 58 - 1) = "1" ), 3, 4 ) ) )</f>
        <v>2</v>
      </c>
    </row>
    <row r="35" spans="2:59" x14ac:dyDescent="0.25">
      <c r="C35" s="17" t="s">
        <v>102</v>
      </c>
      <c r="D35" s="18"/>
      <c r="E35" s="18"/>
      <c r="F35" s="18"/>
      <c r="G35" s="19"/>
      <c r="AY35" s="7">
        <v>0.16967760689892111</v>
      </c>
      <c r="AZ35" s="7" t="str">
        <f>"0"</f>
        <v>0</v>
      </c>
      <c r="BA35" t="str">
        <f ca="1">IF((OFFSET($A$1, 35 - 1, 51 - 1)) &gt;= (OFFSET($A$1, 68 - 1, 7 - 1)), "1","0")</f>
        <v>0</v>
      </c>
      <c r="BB35">
        <f ca="1" xml:space="preserve"> IF( AND( OFFSET($A$1, 35 - 1, 52 - 1) = "1", OFFSET($A$1, 35 - 1, 53 - 1) = "1" ), 1, IF( AND( OFFSET($A$1, 35 - 1, 52 - 1) = "1", OFFSET($A$1, 35 - 1, 53 - 1) = "0" ), 2, IF( AND( OFFSET($A$1, 35 - 1, 52 - 1) = "0", OFFSET($A$1, 35 - 1, 53 - 1) = "1" ), 3, 4 ) ) )</f>
        <v>4</v>
      </c>
      <c r="BD35" s="7">
        <v>0.27540942450135336</v>
      </c>
      <c r="BE35" s="7" t="str">
        <f>"0"</f>
        <v>0</v>
      </c>
      <c r="BF35" t="str">
        <f ca="1">IF((OFFSET($A$1, 35 - 1, 56 - 1)) &gt;= (OFFSET($A$1, 92 - 1, 7 - 1)), "1","0")</f>
        <v>0</v>
      </c>
      <c r="BG35">
        <f ca="1" xml:space="preserve"> IF( AND( OFFSET($A$1, 35 - 1, 57 - 1) = "1", OFFSET($A$1, 35 - 1, 58 - 1) = "1" ), 1, IF( AND( OFFSET($A$1, 35 - 1, 57 - 1) = "1", OFFSET($A$1, 35 - 1, 58 - 1) = "0" ), 2, IF( AND( OFFSET($A$1, 35 - 1, 57 - 1) = "0", OFFSET($A$1, 35 - 1, 58 - 1) = "1" ), 3, 4 ) ) )</f>
        <v>4</v>
      </c>
    </row>
    <row r="36" spans="2:59" x14ac:dyDescent="0.25">
      <c r="C36" s="17" t="s">
        <v>103</v>
      </c>
      <c r="D36" s="18"/>
      <c r="E36" s="18"/>
      <c r="F36" s="18"/>
      <c r="G36" s="19"/>
      <c r="AY36" s="7">
        <v>0.17327608298152103</v>
      </c>
      <c r="AZ36" s="7" t="str">
        <f>"0"</f>
        <v>0</v>
      </c>
      <c r="BA36" t="str">
        <f ca="1">IF((OFFSET($A$1, 36 - 1, 51 - 1)) &gt;= (OFFSET($A$1, 68 - 1, 7 - 1)), "1","0")</f>
        <v>0</v>
      </c>
      <c r="BB36">
        <f ca="1" xml:space="preserve"> IF( AND( OFFSET($A$1, 36 - 1, 52 - 1) = "1", OFFSET($A$1, 36 - 1, 53 - 1) = "1" ), 1, IF( AND( OFFSET($A$1, 36 - 1, 52 - 1) = "1", OFFSET($A$1, 36 - 1, 53 - 1) = "0" ), 2, IF( AND( OFFSET($A$1, 36 - 1, 52 - 1) = "0", OFFSET($A$1, 36 - 1, 53 - 1) = "1" ), 3, 4 ) ) )</f>
        <v>4</v>
      </c>
      <c r="BD36" s="7">
        <v>0.168787331886425</v>
      </c>
      <c r="BE36" s="7" t="str">
        <f>"0"</f>
        <v>0</v>
      </c>
      <c r="BF36" t="str">
        <f ca="1">IF((OFFSET($A$1, 36 - 1, 56 - 1)) &gt;= (OFFSET($A$1, 92 - 1, 7 - 1)), "1","0")</f>
        <v>0</v>
      </c>
      <c r="BG36">
        <f ca="1" xml:space="preserve"> IF( AND( OFFSET($A$1, 36 - 1, 57 - 1) = "1", OFFSET($A$1, 36 - 1, 58 - 1) = "1" ), 1, IF( AND( OFFSET($A$1, 36 - 1, 57 - 1) = "1", OFFSET($A$1, 36 - 1, 58 - 1) = "0" ), 2, IF( AND( OFFSET($A$1, 36 - 1, 57 - 1) = "0", OFFSET($A$1, 36 - 1, 58 - 1) = "1" ), 3, 4 ) ) )</f>
        <v>4</v>
      </c>
    </row>
    <row r="37" spans="2:59" x14ac:dyDescent="0.25">
      <c r="C37" s="17" t="s">
        <v>104</v>
      </c>
      <c r="D37" s="18"/>
      <c r="E37" s="18"/>
      <c r="F37" s="18"/>
      <c r="G37" s="19"/>
      <c r="AY37" s="7">
        <v>0.21795376586115467</v>
      </c>
      <c r="AZ37" s="7" t="str">
        <f>"1"</f>
        <v>1</v>
      </c>
      <c r="BA37" t="str">
        <f ca="1">IF((OFFSET($A$1, 37 - 1, 51 - 1)) &gt;= (OFFSET($A$1, 68 - 1, 7 - 1)), "1","0")</f>
        <v>0</v>
      </c>
      <c r="BB37">
        <f ca="1" xml:space="preserve"> IF( AND( OFFSET($A$1, 37 - 1, 52 - 1) = "1", OFFSET($A$1, 37 - 1, 53 - 1) = "1" ), 1, IF( AND( OFFSET($A$1, 37 - 1, 52 - 1) = "1", OFFSET($A$1, 37 - 1, 53 - 1) = "0" ), 2, IF( AND( OFFSET($A$1, 37 - 1, 52 - 1) = "0", OFFSET($A$1, 37 - 1, 53 - 1) = "1" ), 3, 4 ) ) )</f>
        <v>2</v>
      </c>
      <c r="BD37" s="7">
        <v>0.2391551216803047</v>
      </c>
      <c r="BE37" s="7" t="str">
        <f>"0"</f>
        <v>0</v>
      </c>
      <c r="BF37" t="str">
        <f ca="1">IF((OFFSET($A$1, 37 - 1, 56 - 1)) &gt;= (OFFSET($A$1, 92 - 1, 7 - 1)), "1","0")</f>
        <v>0</v>
      </c>
      <c r="BG37">
        <f ca="1" xml:space="preserve"> IF( AND( OFFSET($A$1, 37 - 1, 57 - 1) = "1", OFFSET($A$1, 37 - 1, 58 - 1) = "1" ), 1, IF( AND( OFFSET($A$1, 37 - 1, 57 - 1) = "1", OFFSET($A$1, 37 - 1, 58 - 1) = "0" ), 2, IF( AND( OFFSET($A$1, 37 - 1, 57 - 1) = "0", OFFSET($A$1, 37 - 1, 58 - 1) = "1" ), 3, 4 ) ) )</f>
        <v>4</v>
      </c>
    </row>
    <row r="38" spans="2:59" x14ac:dyDescent="0.25">
      <c r="AY38" s="7">
        <v>0.18730766843744823</v>
      </c>
      <c r="AZ38" s="7" t="str">
        <f>"0"</f>
        <v>0</v>
      </c>
      <c r="BA38" t="str">
        <f ca="1">IF((OFFSET($A$1, 38 - 1, 51 - 1)) &gt;= (OFFSET($A$1, 68 - 1, 7 - 1)), "1","0")</f>
        <v>0</v>
      </c>
      <c r="BB38">
        <f ca="1" xml:space="preserve"> IF( AND( OFFSET($A$1, 38 - 1, 52 - 1) = "1", OFFSET($A$1, 38 - 1, 53 - 1) = "1" ), 1, IF( AND( OFFSET($A$1, 38 - 1, 52 - 1) = "1", OFFSET($A$1, 38 - 1, 53 - 1) = "0" ), 2, IF( AND( OFFSET($A$1, 38 - 1, 52 - 1) = "0", OFFSET($A$1, 38 - 1, 53 - 1) = "1" ), 3, 4 ) ) )</f>
        <v>4</v>
      </c>
      <c r="BD38" s="7">
        <v>0.26418313464112936</v>
      </c>
      <c r="BE38" s="7" t="str">
        <f>"1"</f>
        <v>1</v>
      </c>
      <c r="BF38" t="str">
        <f ca="1">IF((OFFSET($A$1, 38 - 1, 56 - 1)) &gt;= (OFFSET($A$1, 92 - 1, 7 - 1)), "1","0")</f>
        <v>0</v>
      </c>
      <c r="BG38">
        <f ca="1" xml:space="preserve"> IF( AND( OFFSET($A$1, 38 - 1, 57 - 1) = "1", OFFSET($A$1, 38 - 1, 58 - 1) = "1" ), 1, IF( AND( OFFSET($A$1, 38 - 1, 57 - 1) = "1", OFFSET($A$1, 38 - 1, 58 - 1) = "0" ), 2, IF( AND( OFFSET($A$1, 38 - 1, 57 - 1) = "0", OFFSET($A$1, 38 - 1, 58 - 1) = "1" ), 3, 4 ) ) )</f>
        <v>2</v>
      </c>
    </row>
    <row r="39" spans="2:59" x14ac:dyDescent="0.25">
      <c r="AY39" s="7">
        <v>0.23118302117627954</v>
      </c>
      <c r="AZ39" s="7" t="str">
        <f>"1"</f>
        <v>1</v>
      </c>
      <c r="BA39" t="str">
        <f ca="1">IF((OFFSET($A$1, 39 - 1, 51 - 1)) &gt;= (OFFSET($A$1, 68 - 1, 7 - 1)), "1","0")</f>
        <v>0</v>
      </c>
      <c r="BB39">
        <f ca="1" xml:space="preserve"> IF( AND( OFFSET($A$1, 39 - 1, 52 - 1) = "1", OFFSET($A$1, 39 - 1, 53 - 1) = "1" ), 1, IF( AND( OFFSET($A$1, 39 - 1, 52 - 1) = "1", OFFSET($A$1, 39 - 1, 53 - 1) = "0" ), 2, IF( AND( OFFSET($A$1, 39 - 1, 52 - 1) = "0", OFFSET($A$1, 39 - 1, 53 - 1) = "1" ), 3, 4 ) ) )</f>
        <v>2</v>
      </c>
      <c r="BD39" s="7">
        <v>0.18538744712211708</v>
      </c>
      <c r="BE39" s="7" t="str">
        <f>"0"</f>
        <v>0</v>
      </c>
      <c r="BF39" t="str">
        <f ca="1">IF((OFFSET($A$1, 39 - 1, 56 - 1)) &gt;= (OFFSET($A$1, 92 - 1, 7 - 1)), "1","0")</f>
        <v>0</v>
      </c>
      <c r="BG39">
        <f ca="1" xml:space="preserve"> IF( AND( OFFSET($A$1, 39 - 1, 57 - 1) = "1", OFFSET($A$1, 39 - 1, 58 - 1) = "1" ), 1, IF( AND( OFFSET($A$1, 39 - 1, 57 - 1) = "1", OFFSET($A$1, 39 - 1, 58 - 1) = "0" ), 2, IF( AND( OFFSET($A$1, 39 - 1, 57 - 1) = "0", OFFSET($A$1, 39 - 1, 58 - 1) = "1" ), 3, 4 ) ) )</f>
        <v>4</v>
      </c>
    </row>
    <row r="40" spans="2:59" ht="18.75" x14ac:dyDescent="0.3">
      <c r="B40" s="26" t="s">
        <v>105</v>
      </c>
      <c r="AY40" s="7">
        <v>0.14069318417849461</v>
      </c>
      <c r="AZ40" s="7" t="str">
        <f>"0"</f>
        <v>0</v>
      </c>
      <c r="BA40" t="str">
        <f ca="1">IF((OFFSET($A$1, 40 - 1, 51 - 1)) &gt;= (OFFSET($A$1, 68 - 1, 7 - 1)), "1","0")</f>
        <v>0</v>
      </c>
      <c r="BB40">
        <f ca="1" xml:space="preserve"> IF( AND( OFFSET($A$1, 40 - 1, 52 - 1) = "1", OFFSET($A$1, 40 - 1, 53 - 1) = "1" ), 1, IF( AND( OFFSET($A$1, 40 - 1, 52 - 1) = "1", OFFSET($A$1, 40 - 1, 53 - 1) = "0" ), 2, IF( AND( OFFSET($A$1, 40 - 1, 52 - 1) = "0", OFFSET($A$1, 40 - 1, 53 - 1) = "1" ), 3, 4 ) ) )</f>
        <v>4</v>
      </c>
      <c r="BD40" s="7">
        <v>0.21154714473978944</v>
      </c>
      <c r="BE40" s="7" t="str">
        <f>"0"</f>
        <v>0</v>
      </c>
      <c r="BF40" t="str">
        <f ca="1">IF((OFFSET($A$1, 40 - 1, 56 - 1)) &gt;= (OFFSET($A$1, 92 - 1, 7 - 1)), "1","0")</f>
        <v>0</v>
      </c>
      <c r="BG40">
        <f ca="1" xml:space="preserve"> IF( AND( OFFSET($A$1, 40 - 1, 57 - 1) = "1", OFFSET($A$1, 40 - 1, 58 - 1) = "1" ), 1, IF( AND( OFFSET($A$1, 40 - 1, 57 - 1) = "1", OFFSET($A$1, 40 - 1, 58 - 1) = "0" ), 2, IF( AND( OFFSET($A$1, 40 - 1, 57 - 1) = "0", OFFSET($A$1, 40 - 1, 58 - 1) = "1" ), 3, 4 ) ) )</f>
        <v>4</v>
      </c>
    </row>
    <row r="41" spans="2:59" x14ac:dyDescent="0.25">
      <c r="AY41" s="7">
        <v>0.18538744712211713</v>
      </c>
      <c r="AZ41" s="7" t="str">
        <f>"1"</f>
        <v>1</v>
      </c>
      <c r="BA41" t="str">
        <f ca="1">IF((OFFSET($A$1, 41 - 1, 51 - 1)) &gt;= (OFFSET($A$1, 68 - 1, 7 - 1)), "1","0")</f>
        <v>0</v>
      </c>
      <c r="BB41">
        <f ca="1" xml:space="preserve"> IF( AND( OFFSET($A$1, 41 - 1, 52 - 1) = "1", OFFSET($A$1, 41 - 1, 53 - 1) = "1" ), 1, IF( AND( OFFSET($A$1, 41 - 1, 52 - 1) = "1", OFFSET($A$1, 41 - 1, 53 - 1) = "0" ), 2, IF( AND( OFFSET($A$1, 41 - 1, 52 - 1) = "0", OFFSET($A$1, 41 - 1, 53 - 1) = "1" ), 3, 4 ) ) )</f>
        <v>2</v>
      </c>
      <c r="BD41" s="7">
        <v>0.24379442904804977</v>
      </c>
      <c r="BE41" s="7" t="str">
        <f>"1"</f>
        <v>1</v>
      </c>
      <c r="BF41" t="str">
        <f ca="1">IF((OFFSET($A$1, 41 - 1, 56 - 1)) &gt;= (OFFSET($A$1, 92 - 1, 7 - 1)), "1","0")</f>
        <v>0</v>
      </c>
      <c r="BG41">
        <f ca="1" xml:space="preserve"> IF( AND( OFFSET($A$1, 41 - 1, 57 - 1) = "1", OFFSET($A$1, 41 - 1, 58 - 1) = "1" ), 1, IF( AND( OFFSET($A$1, 41 - 1, 57 - 1) = "1", OFFSET($A$1, 41 - 1, 58 - 1) = "0" ), 2, IF( AND( OFFSET($A$1, 41 - 1, 57 - 1) = "0", OFFSET($A$1, 41 - 1, 58 - 1) = "1" ), 3, 4 ) ) )</f>
        <v>2</v>
      </c>
    </row>
    <row r="42" spans="2:59" x14ac:dyDescent="0.25">
      <c r="C42" s="17" t="s">
        <v>106</v>
      </c>
      <c r="D42" s="18"/>
      <c r="E42" s="18"/>
      <c r="F42" s="18"/>
      <c r="G42" s="19"/>
      <c r="AY42" s="7">
        <v>0.26295403480053009</v>
      </c>
      <c r="AZ42" s="7" t="str">
        <f>"1"</f>
        <v>1</v>
      </c>
      <c r="BA42" t="str">
        <f ca="1">IF((OFFSET($A$1, 42 - 1, 51 - 1)) &gt;= (OFFSET($A$1, 68 - 1, 7 - 1)), "1","0")</f>
        <v>0</v>
      </c>
      <c r="BB42">
        <f ca="1" xml:space="preserve"> IF( AND( OFFSET($A$1, 42 - 1, 52 - 1) = "1", OFFSET($A$1, 42 - 1, 53 - 1) = "1" ), 1, IF( AND( OFFSET($A$1, 42 - 1, 52 - 1) = "1", OFFSET($A$1, 42 - 1, 53 - 1) = "0" ), 2, IF( AND( OFFSET($A$1, 42 - 1, 52 - 1) = "0", OFFSET($A$1, 42 - 1, 53 - 1) = "1" ), 3, 4 ) ) )</f>
        <v>2</v>
      </c>
      <c r="BD42" s="7">
        <v>0.148524415601784</v>
      </c>
      <c r="BE42" s="7" t="str">
        <f>"0"</f>
        <v>0</v>
      </c>
      <c r="BF42" t="str">
        <f ca="1">IF((OFFSET($A$1, 42 - 1, 56 - 1)) &gt;= (OFFSET($A$1, 92 - 1, 7 - 1)), "1","0")</f>
        <v>0</v>
      </c>
      <c r="BG42">
        <f ca="1" xml:space="preserve"> IF( AND( OFFSET($A$1, 42 - 1, 57 - 1) = "1", OFFSET($A$1, 42 - 1, 58 - 1) = "1" ), 1, IF( AND( OFFSET($A$1, 42 - 1, 57 - 1) = "1", OFFSET($A$1, 42 - 1, 58 - 1) = "0" ), 2, IF( AND( OFFSET($A$1, 42 - 1, 57 - 1) = "0", OFFSET($A$1, 42 - 1, 58 - 1) = "1" ), 3, 4 ) ) )</f>
        <v>4</v>
      </c>
    </row>
    <row r="43" spans="2:59" x14ac:dyDescent="0.25">
      <c r="AY43" s="7">
        <v>0.22893971319916176</v>
      </c>
      <c r="AZ43" s="7" t="str">
        <f>"1"</f>
        <v>1</v>
      </c>
      <c r="BA43" t="str">
        <f ca="1">IF((OFFSET($A$1, 43 - 1, 51 - 1)) &gt;= (OFFSET($A$1, 68 - 1, 7 - 1)), "1","0")</f>
        <v>0</v>
      </c>
      <c r="BB43">
        <f ca="1" xml:space="preserve"> IF( AND( OFFSET($A$1, 43 - 1, 52 - 1) = "1", OFFSET($A$1, 43 - 1, 53 - 1) = "1" ), 1, IF( AND( OFFSET($A$1, 43 - 1, 52 - 1) = "1", OFFSET($A$1, 43 - 1, 53 - 1) = "0" ), 2, IF( AND( OFFSET($A$1, 43 - 1, 52 - 1) = "0", OFFSET($A$1, 43 - 1, 53 - 1) = "1" ), 3, 4 ) ) )</f>
        <v>2</v>
      </c>
      <c r="BD43" s="7">
        <v>0.13841212205338652</v>
      </c>
      <c r="BE43" s="7" t="str">
        <f>"0"</f>
        <v>0</v>
      </c>
      <c r="BF43" t="str">
        <f ca="1">IF((OFFSET($A$1, 43 - 1, 56 - 1)) &gt;= (OFFSET($A$1, 92 - 1, 7 - 1)), "1","0")</f>
        <v>0</v>
      </c>
      <c r="BG43">
        <f ca="1" xml:space="preserve"> IF( AND( OFFSET($A$1, 43 - 1, 57 - 1) = "1", OFFSET($A$1, 43 - 1, 58 - 1) = "1" ), 1, IF( AND( OFFSET($A$1, 43 - 1, 57 - 1) = "1", OFFSET($A$1, 43 - 1, 58 - 1) = "0" ), 2, IF( AND( OFFSET($A$1, 43 - 1, 57 - 1) = "0", OFFSET($A$1, 43 - 1, 58 - 1) = "1" ), 3, 4 ) ) )</f>
        <v>4</v>
      </c>
    </row>
    <row r="44" spans="2:59" x14ac:dyDescent="0.25">
      <c r="C44" s="10" t="s">
        <v>107</v>
      </c>
      <c r="D44" s="10" t="s">
        <v>108</v>
      </c>
      <c r="AY44" s="7">
        <v>0.12194014619581467</v>
      </c>
      <c r="AZ44" s="7" t="str">
        <f>"0"</f>
        <v>0</v>
      </c>
      <c r="BA44" t="str">
        <f ca="1">IF((OFFSET($A$1, 44 - 1, 51 - 1)) &gt;= (OFFSET($A$1, 68 - 1, 7 - 1)), "1","0")</f>
        <v>0</v>
      </c>
      <c r="BB44">
        <f ca="1" xml:space="preserve"> IF( AND( OFFSET($A$1, 44 - 1, 52 - 1) = "1", OFFSET($A$1, 44 - 1, 53 - 1) = "1" ), 1, IF( AND( OFFSET($A$1, 44 - 1, 52 - 1) = "1", OFFSET($A$1, 44 - 1, 53 - 1) = "0" ), 2, IF( AND( OFFSET($A$1, 44 - 1, 52 - 1) = "0", OFFSET($A$1, 44 - 1, 53 - 1) = "1" ), 3, 4 ) ) )</f>
        <v>4</v>
      </c>
      <c r="BD44" s="7">
        <v>0.1844330536932097</v>
      </c>
      <c r="BE44" s="7" t="str">
        <f>"0"</f>
        <v>0</v>
      </c>
      <c r="BF44" t="str">
        <f ca="1">IF((OFFSET($A$1, 44 - 1, 56 - 1)) &gt;= (OFFSET($A$1, 92 - 1, 7 - 1)), "1","0")</f>
        <v>0</v>
      </c>
      <c r="BG44">
        <f ca="1" xml:space="preserve"> IF( AND( OFFSET($A$1, 44 - 1, 57 - 1) = "1", OFFSET($A$1, 44 - 1, 58 - 1) = "1" ), 1, IF( AND( OFFSET($A$1, 44 - 1, 57 - 1) = "1", OFFSET($A$1, 44 - 1, 58 - 1) = "0" ), 2, IF( AND( OFFSET($A$1, 44 - 1, 57 - 1) = "0", OFFSET($A$1, 44 - 1, 58 - 1) = "1" ), 3, 4 ) ) )</f>
        <v>4</v>
      </c>
    </row>
    <row r="45" spans="2:59" x14ac:dyDescent="0.25">
      <c r="C45" s="9">
        <v>0</v>
      </c>
      <c r="D45" s="7">
        <v>0.80333333333333334</v>
      </c>
      <c r="AY45" s="7">
        <v>0.27667488888216679</v>
      </c>
      <c r="AZ45" s="7" t="str">
        <f>"1"</f>
        <v>1</v>
      </c>
      <c r="BA45" t="str">
        <f ca="1">IF((OFFSET($A$1, 45 - 1, 51 - 1)) &gt;= (OFFSET($A$1, 68 - 1, 7 - 1)), "1","0")</f>
        <v>0</v>
      </c>
      <c r="BB45">
        <f ca="1" xml:space="preserve"> IF( AND( OFFSET($A$1, 45 - 1, 52 - 1) = "1", OFFSET($A$1, 45 - 1, 53 - 1) = "1" ), 1, IF( AND( OFFSET($A$1, 45 - 1, 52 - 1) = "1", OFFSET($A$1, 45 - 1, 53 - 1) = "0" ), 2, IF( AND( OFFSET($A$1, 45 - 1, 52 - 1) = "0", OFFSET($A$1, 45 - 1, 53 - 1) = "1" ), 3, 4 ) ) )</f>
        <v>2</v>
      </c>
      <c r="BD45" s="7">
        <v>0.20839591789254663</v>
      </c>
      <c r="BE45" s="7" t="str">
        <f>"1"</f>
        <v>1</v>
      </c>
      <c r="BF45" t="str">
        <f ca="1">IF((OFFSET($A$1, 45 - 1, 56 - 1)) &gt;= (OFFSET($A$1, 92 - 1, 7 - 1)), "1","0")</f>
        <v>0</v>
      </c>
      <c r="BG45">
        <f ca="1" xml:space="preserve"> IF( AND( OFFSET($A$1, 45 - 1, 57 - 1) = "1", OFFSET($A$1, 45 - 1, 58 - 1) = "1" ), 1, IF( AND( OFFSET($A$1, 45 - 1, 57 - 1) = "1", OFFSET($A$1, 45 - 1, 58 - 1) = "0" ), 2, IF( AND( OFFSET($A$1, 45 - 1, 57 - 1) = "0", OFFSET($A$1, 45 - 1, 58 - 1) = "1" ), 3, 4 ) ) )</f>
        <v>2</v>
      </c>
    </row>
    <row r="46" spans="2:59" x14ac:dyDescent="0.25">
      <c r="C46" s="9">
        <v>1</v>
      </c>
      <c r="D46" s="7">
        <v>0.19666666666666668</v>
      </c>
      <c r="AY46" s="7">
        <v>0.19119394354449384</v>
      </c>
      <c r="AZ46" s="7" t="str">
        <f>"0"</f>
        <v>0</v>
      </c>
      <c r="BA46" t="str">
        <f ca="1">IF((OFFSET($A$1, 46 - 1, 51 - 1)) &gt;= (OFFSET($A$1, 68 - 1, 7 - 1)), "1","0")</f>
        <v>0</v>
      </c>
      <c r="BB46">
        <f ca="1" xml:space="preserve"> IF( AND( OFFSET($A$1, 46 - 1, 52 - 1) = "1", OFFSET($A$1, 46 - 1, 53 - 1) = "1" ), 1, IF( AND( OFFSET($A$1, 46 - 1, 52 - 1) = "1", OFFSET($A$1, 46 - 1, 53 - 1) = "0" ), 2, IF( AND( OFFSET($A$1, 46 - 1, 52 - 1) = "0", OFFSET($A$1, 46 - 1, 53 - 1) = "1" ), 3, 4 ) ) )</f>
        <v>4</v>
      </c>
      <c r="BD46" s="7">
        <v>0.19613797039107678</v>
      </c>
      <c r="BE46" s="7" t="str">
        <f>"0"</f>
        <v>0</v>
      </c>
      <c r="BF46" t="str">
        <f ca="1">IF((OFFSET($A$1, 46 - 1, 56 - 1)) &gt;= (OFFSET($A$1, 92 - 1, 7 - 1)), "1","0")</f>
        <v>0</v>
      </c>
      <c r="BG46">
        <f ca="1" xml:space="preserve"> IF( AND( OFFSET($A$1, 46 - 1, 57 - 1) = "1", OFFSET($A$1, 46 - 1, 58 - 1) = "1" ), 1, IF( AND( OFFSET($A$1, 46 - 1, 57 - 1) = "1", OFFSET($A$1, 46 - 1, 58 - 1) = "0" ), 2, IF( AND( OFFSET($A$1, 46 - 1, 57 - 1) = "0", OFFSET($A$1, 46 - 1, 58 - 1) = "1" ), 3, 4 ) ) )</f>
        <v>4</v>
      </c>
    </row>
    <row r="47" spans="2:59" x14ac:dyDescent="0.25">
      <c r="AY47" s="7">
        <v>0.21473309647067179</v>
      </c>
      <c r="AZ47" s="7" t="str">
        <f>"0"</f>
        <v>0</v>
      </c>
      <c r="BA47" t="str">
        <f ca="1">IF((OFFSET($A$1, 47 - 1, 51 - 1)) &gt;= (OFFSET($A$1, 68 - 1, 7 - 1)), "1","0")</f>
        <v>0</v>
      </c>
      <c r="BB47">
        <f ca="1" xml:space="preserve"> IF( AND( OFFSET($A$1, 47 - 1, 52 - 1) = "1", OFFSET($A$1, 47 - 1, 53 - 1) = "1" ), 1, IF( AND( OFFSET($A$1, 47 - 1, 52 - 1) = "1", OFFSET($A$1, 47 - 1, 53 - 1) = "0" ), 2, IF( AND( OFFSET($A$1, 47 - 1, 52 - 1) = "0", OFFSET($A$1, 47 - 1, 53 - 1) = "1" ), 3, 4 ) ) )</f>
        <v>4</v>
      </c>
      <c r="BD47" s="7">
        <v>0.21366725442465345</v>
      </c>
      <c r="BE47" s="7" t="str">
        <f>"0"</f>
        <v>0</v>
      </c>
      <c r="BF47" t="str">
        <f ca="1">IF((OFFSET($A$1, 47 - 1, 56 - 1)) &gt;= (OFFSET($A$1, 92 - 1, 7 - 1)), "1","0")</f>
        <v>0</v>
      </c>
      <c r="BG47">
        <f ca="1" xml:space="preserve"> IF( AND( OFFSET($A$1, 47 - 1, 57 - 1) = "1", OFFSET($A$1, 47 - 1, 58 - 1) = "1" ), 1, IF( AND( OFFSET($A$1, 47 - 1, 57 - 1) = "1", OFFSET($A$1, 47 - 1, 58 - 1) = "0" ), 2, IF( AND( OFFSET($A$1, 47 - 1, 57 - 1) = "0", OFFSET($A$1, 47 - 1, 58 - 1) = "1" ), 3, 4 ) ) )</f>
        <v>4</v>
      </c>
    </row>
    <row r="48" spans="2:59" x14ac:dyDescent="0.25">
      <c r="AY48" s="7">
        <v>0.17509782079575215</v>
      </c>
      <c r="AZ48" s="7" t="str">
        <f>"0"</f>
        <v>0</v>
      </c>
      <c r="BA48" t="str">
        <f ca="1">IF((OFFSET($A$1, 48 - 1, 51 - 1)) &gt;= (OFFSET($A$1, 68 - 1, 7 - 1)), "1","0")</f>
        <v>0</v>
      </c>
      <c r="BB48">
        <f ca="1" xml:space="preserve"> IF( AND( OFFSET($A$1, 48 - 1, 52 - 1) = "1", OFFSET($A$1, 48 - 1, 53 - 1) = "1" ), 1, IF( AND( OFFSET($A$1, 48 - 1, 52 - 1) = "1", OFFSET($A$1, 48 - 1, 53 - 1) = "0" ), 2, IF( AND( OFFSET($A$1, 48 - 1, 52 - 1) = "0", OFFSET($A$1, 48 - 1, 53 - 1) = "1" ), 3, 4 ) ) )</f>
        <v>4</v>
      </c>
      <c r="BD48" s="7">
        <v>0.25565707697198908</v>
      </c>
      <c r="BE48" s="7" t="str">
        <f>"1"</f>
        <v>1</v>
      </c>
      <c r="BF48" t="str">
        <f ca="1">IF((OFFSET($A$1, 48 - 1, 56 - 1)) &gt;= (OFFSET($A$1, 92 - 1, 7 - 1)), "1","0")</f>
        <v>0</v>
      </c>
      <c r="BG48">
        <f ca="1" xml:space="preserve"> IF( AND( OFFSET($A$1, 48 - 1, 57 - 1) = "1", OFFSET($A$1, 48 - 1, 58 - 1) = "1" ), 1, IF( AND( OFFSET($A$1, 48 - 1, 57 - 1) = "1", OFFSET($A$1, 48 - 1, 58 - 1) = "0" ), 2, IF( AND( OFFSET($A$1, 48 - 1, 57 - 1) = "0", OFFSET($A$1, 48 - 1, 58 - 1) = "1" ), 3, 4 ) ) )</f>
        <v>2</v>
      </c>
    </row>
    <row r="49" spans="2:59" ht="18.75" x14ac:dyDescent="0.3">
      <c r="B49" s="26" t="s">
        <v>109</v>
      </c>
      <c r="AY49" s="7">
        <v>0.22560353707599728</v>
      </c>
      <c r="AZ49" s="7" t="str">
        <f>"1"</f>
        <v>1</v>
      </c>
      <c r="BA49" t="str">
        <f ca="1">IF((OFFSET($A$1, 49 - 1, 51 - 1)) &gt;= (OFFSET($A$1, 68 - 1, 7 - 1)), "1","0")</f>
        <v>0</v>
      </c>
      <c r="BB49">
        <f ca="1" xml:space="preserve"> IF( AND( OFFSET($A$1, 49 - 1, 52 - 1) = "1", OFFSET($A$1, 49 - 1, 53 - 1) = "1" ), 1, IF( AND( OFFSET($A$1, 49 - 1, 52 - 1) = "1", OFFSET($A$1, 49 - 1, 53 - 1) = "0" ), 2, IF( AND( OFFSET($A$1, 49 - 1, 52 - 1) = "0", OFFSET($A$1, 49 - 1, 53 - 1) = "1" ), 3, 4 ) ) )</f>
        <v>2</v>
      </c>
      <c r="BD49" s="7">
        <v>0.21260527042554705</v>
      </c>
      <c r="BE49" s="7" t="str">
        <f>"0"</f>
        <v>0</v>
      </c>
      <c r="BF49" t="str">
        <f ca="1">IF((OFFSET($A$1, 49 - 1, 56 - 1)) &gt;= (OFFSET($A$1, 92 - 1, 7 - 1)), "1","0")</f>
        <v>0</v>
      </c>
      <c r="BG49">
        <f ca="1" xml:space="preserve"> IF( AND( OFFSET($A$1, 49 - 1, 57 - 1) = "1", OFFSET($A$1, 49 - 1, 58 - 1) = "1" ), 1, IF( AND( OFFSET($A$1, 49 - 1, 57 - 1) = "1", OFFSET($A$1, 49 - 1, 58 - 1) = "0" ), 2, IF( AND( OFFSET($A$1, 49 - 1, 57 - 1) = "0", OFFSET($A$1, 49 - 1, 58 - 1) = "1" ), 3, 4 ) ) )</f>
        <v>4</v>
      </c>
    </row>
    <row r="50" spans="2:59" x14ac:dyDescent="0.25">
      <c r="AY50" s="7">
        <v>0.22230196043449058</v>
      </c>
      <c r="AZ50" s="7" t="str">
        <f>"0"</f>
        <v>0</v>
      </c>
      <c r="BA50" t="str">
        <f ca="1">IF((OFFSET($A$1, 50 - 1, 51 - 1)) &gt;= (OFFSET($A$1, 68 - 1, 7 - 1)), "1","0")</f>
        <v>0</v>
      </c>
      <c r="BB50">
        <f ca="1" xml:space="preserve"> IF( AND( OFFSET($A$1, 50 - 1, 52 - 1) = "1", OFFSET($A$1, 50 - 1, 53 - 1) = "1" ), 1, IF( AND( OFFSET($A$1, 50 - 1, 52 - 1) = "1", OFFSET($A$1, 50 - 1, 53 - 1) = "0" ), 2, IF( AND( OFFSET($A$1, 50 - 1, 52 - 1) = "0", OFFSET($A$1, 50 - 1, 53 - 1) = "1" ), 3, 4 ) ) )</f>
        <v>4</v>
      </c>
      <c r="BD50" s="7">
        <v>0.26665235467082504</v>
      </c>
      <c r="BE50" s="7" t="str">
        <f>"1"</f>
        <v>1</v>
      </c>
      <c r="BF50" t="str">
        <f ca="1">IF((OFFSET($A$1, 50 - 1, 56 - 1)) &gt;= (OFFSET($A$1, 92 - 1, 7 - 1)), "1","0")</f>
        <v>0</v>
      </c>
      <c r="BG50">
        <f ca="1" xml:space="preserve"> IF( AND( OFFSET($A$1, 50 - 1, 57 - 1) = "1", OFFSET($A$1, 50 - 1, 58 - 1) = "1" ), 1, IF( AND( OFFSET($A$1, 50 - 1, 57 - 1) = "1", OFFSET($A$1, 50 - 1, 58 - 1) = "0" ), 2, IF( AND( OFFSET($A$1, 50 - 1, 57 - 1) = "0", OFFSET($A$1, 50 - 1, 58 - 1) = "1" ), 3, 4 ) ) )</f>
        <v>2</v>
      </c>
    </row>
    <row r="51" spans="2:59" x14ac:dyDescent="0.25">
      <c r="C51" s="36" t="s">
        <v>110</v>
      </c>
      <c r="D51" s="37"/>
      <c r="E51" s="38"/>
      <c r="F51" s="7">
        <v>3.3256214951262629E-12</v>
      </c>
      <c r="AY51" s="7">
        <v>0.11276171513011904</v>
      </c>
      <c r="AZ51" s="7" t="str">
        <f>"0"</f>
        <v>0</v>
      </c>
      <c r="BA51" t="str">
        <f ca="1">IF((OFFSET($A$1, 51 - 1, 51 - 1)) &gt;= (OFFSET($A$1, 68 - 1, 7 - 1)), "1","0")</f>
        <v>0</v>
      </c>
      <c r="BB51">
        <f ca="1" xml:space="preserve"> IF( AND( OFFSET($A$1, 51 - 1, 52 - 1) = "1", OFFSET($A$1, 51 - 1, 53 - 1) = "1" ), 1, IF( AND( OFFSET($A$1, 51 - 1, 52 - 1) = "1", OFFSET($A$1, 51 - 1, 53 - 1) = "0" ), 2, IF( AND( OFFSET($A$1, 51 - 1, 52 - 1) = "0", OFFSET($A$1, 51 - 1, 53 - 1) = "1" ), 3, 4 ) ) )</f>
        <v>4</v>
      </c>
      <c r="BD51" s="7">
        <v>0.16439174042633076</v>
      </c>
      <c r="BE51" s="7" t="str">
        <f>"0"</f>
        <v>0</v>
      </c>
      <c r="BF51" t="str">
        <f ca="1">IF((OFFSET($A$1, 51 - 1, 56 - 1)) &gt;= (OFFSET($A$1, 92 - 1, 7 - 1)), "1","0")</f>
        <v>0</v>
      </c>
      <c r="BG51">
        <f ca="1" xml:space="preserve"> IF( AND( OFFSET($A$1, 51 - 1, 57 - 1) = "1", OFFSET($A$1, 51 - 1, 58 - 1) = "1" ), 1, IF( AND( OFFSET($A$1, 51 - 1, 57 - 1) = "1", OFFSET($A$1, 51 - 1, 58 - 1) = "0" ), 2, IF( AND( OFFSET($A$1, 51 - 1, 57 - 1) = "0", OFFSET($A$1, 51 - 1, 58 - 1) = "1" ), 3, 4 ) ) )</f>
        <v>4</v>
      </c>
    </row>
    <row r="52" spans="2:59" x14ac:dyDescent="0.25">
      <c r="AY52" s="7">
        <v>0.22671175430712215</v>
      </c>
      <c r="AZ52" s="7" t="str">
        <f>"0"</f>
        <v>0</v>
      </c>
      <c r="BA52" t="str">
        <f ca="1">IF((OFFSET($A$1, 52 - 1, 51 - 1)) &gt;= (OFFSET($A$1, 68 - 1, 7 - 1)), "1","0")</f>
        <v>0</v>
      </c>
      <c r="BB52">
        <f ca="1" xml:space="preserve"> IF( AND( OFFSET($A$1, 52 - 1, 52 - 1) = "1", OFFSET($A$1, 52 - 1, 53 - 1) = "1" ), 1, IF( AND( OFFSET($A$1, 52 - 1, 52 - 1) = "1", OFFSET($A$1, 52 - 1, 53 - 1) = "0" ), 2, IF( AND( OFFSET($A$1, 52 - 1, 52 - 1) = "0", OFFSET($A$1, 52 - 1, 53 - 1) = "1" ), 3, 4 ) ) )</f>
        <v>4</v>
      </c>
      <c r="BD52" s="7">
        <v>0.12817483232473822</v>
      </c>
      <c r="BE52" s="7" t="str">
        <f>"0"</f>
        <v>0</v>
      </c>
      <c r="BF52" t="str">
        <f ca="1">IF((OFFSET($A$1, 52 - 1, 56 - 1)) &gt;= (OFFSET($A$1, 92 - 1, 7 - 1)), "1","0")</f>
        <v>0</v>
      </c>
      <c r="BG52">
        <f ca="1" xml:space="preserve"> IF( AND( OFFSET($A$1, 52 - 1, 57 - 1) = "1", OFFSET($A$1, 52 - 1, 58 - 1) = "1" ), 1, IF( AND( OFFSET($A$1, 52 - 1, 57 - 1) = "1", OFFSET($A$1, 52 - 1, 58 - 1) = "0" ), 2, IF( AND( OFFSET($A$1, 52 - 1, 57 - 1) = "0", OFFSET($A$1, 52 - 1, 58 - 1) = "1" ), 3, 4 ) ) )</f>
        <v>4</v>
      </c>
    </row>
    <row r="53" spans="2:59" x14ac:dyDescent="0.25">
      <c r="C53" s="39" t="s">
        <v>111</v>
      </c>
      <c r="D53" s="40"/>
      <c r="E53" s="39" t="s">
        <v>112</v>
      </c>
      <c r="F53" s="40"/>
      <c r="AY53" s="7">
        <v>0.16094184999946912</v>
      </c>
      <c r="AZ53" s="7" t="str">
        <f>"0"</f>
        <v>0</v>
      </c>
      <c r="BA53" t="str">
        <f ca="1">IF((OFFSET($A$1, 53 - 1, 51 - 1)) &gt;= (OFFSET($A$1, 68 - 1, 7 - 1)), "1","0")</f>
        <v>0</v>
      </c>
      <c r="BB53">
        <f ca="1" xml:space="preserve"> IF( AND( OFFSET($A$1, 53 - 1, 52 - 1) = "1", OFFSET($A$1, 53 - 1, 53 - 1) = "1" ), 1, IF( AND( OFFSET($A$1, 53 - 1, 52 - 1) = "1", OFFSET($A$1, 53 - 1, 53 - 1) = "0" ), 2, IF( AND( OFFSET($A$1, 53 - 1, 52 - 1) = "0", OFFSET($A$1, 53 - 1, 53 - 1) = "1" ), 3, 4 ) ) )</f>
        <v>4</v>
      </c>
      <c r="BD53" s="7">
        <v>0.24146718041552676</v>
      </c>
      <c r="BE53" s="7" t="str">
        <f>"0"</f>
        <v>0</v>
      </c>
      <c r="BF53" t="str">
        <f ca="1">IF((OFFSET($A$1, 53 - 1, 56 - 1)) &gt;= (OFFSET($A$1, 92 - 1, 7 - 1)), "1","0")</f>
        <v>0</v>
      </c>
      <c r="BG53">
        <f ca="1" xml:space="preserve"> IF( AND( OFFSET($A$1, 53 - 1, 57 - 1) = "1", OFFSET($A$1, 53 - 1, 58 - 1) = "1" ), 1, IF( AND( OFFSET($A$1, 53 - 1, 57 - 1) = "1", OFFSET($A$1, 53 - 1, 58 - 1) = "0" ), 2, IF( AND( OFFSET($A$1, 53 - 1, 57 - 1) = "0", OFFSET($A$1, 53 - 1, 58 - 1) = "1" ), 3, 4 ) ) )</f>
        <v>4</v>
      </c>
    </row>
    <row r="54" spans="2:59" x14ac:dyDescent="0.25">
      <c r="C54" s="29" t="s">
        <v>113</v>
      </c>
      <c r="D54" s="29" t="s">
        <v>114</v>
      </c>
      <c r="E54" s="29" t="s">
        <v>113</v>
      </c>
      <c r="F54" s="29" t="s">
        <v>114</v>
      </c>
      <c r="AY54" s="7">
        <v>0.16790078346362572</v>
      </c>
      <c r="AZ54" s="7" t="str">
        <f>"0"</f>
        <v>0</v>
      </c>
      <c r="BA54" t="str">
        <f ca="1">IF((OFFSET($A$1, 54 - 1, 51 - 1)) &gt;= (OFFSET($A$1, 68 - 1, 7 - 1)), "1","0")</f>
        <v>0</v>
      </c>
      <c r="BB54">
        <f ca="1" xml:space="preserve"> IF( AND( OFFSET($A$1, 54 - 1, 52 - 1) = "1", OFFSET($A$1, 54 - 1, 53 - 1) = "1" ), 1, IF( AND( OFFSET($A$1, 54 - 1, 52 - 1) = "1", OFFSET($A$1, 54 - 1, 53 - 1) = "0" ), 2, IF( AND( OFFSET($A$1, 54 - 1, 52 - 1) = "0", OFFSET($A$1, 54 - 1, 53 - 1) = "1" ), 3, 4 ) ) )</f>
        <v>4</v>
      </c>
      <c r="BD54" s="7">
        <v>0.17785866534839434</v>
      </c>
      <c r="BE54" s="7" t="str">
        <f>"0"</f>
        <v>0</v>
      </c>
      <c r="BF54" t="str">
        <f ca="1">IF((OFFSET($A$1, 54 - 1, 56 - 1)) &gt;= (OFFSET($A$1, 92 - 1, 7 - 1)), "1","0")</f>
        <v>0</v>
      </c>
      <c r="BG54">
        <f ca="1" xml:space="preserve"> IF( AND( OFFSET($A$1, 54 - 1, 57 - 1) = "1", OFFSET($A$1, 54 - 1, 58 - 1) = "1" ), 1, IF( AND( OFFSET($A$1, 54 - 1, 57 - 1) = "1", OFFSET($A$1, 54 - 1, 58 - 1) = "0" ), 2, IF( AND( OFFSET($A$1, 54 - 1, 57 - 1) = "0", OFFSET($A$1, 54 - 1, 58 - 1) = "1" ), 3, 4 ) ) )</f>
        <v>4</v>
      </c>
    </row>
    <row r="55" spans="2:59" x14ac:dyDescent="0.25">
      <c r="C55" s="9" t="s">
        <v>115</v>
      </c>
      <c r="D55" s="7">
        <v>2.5950802631126568</v>
      </c>
      <c r="AY55" s="7">
        <v>0.18827350327412662</v>
      </c>
      <c r="AZ55" s="7" t="str">
        <f>"0"</f>
        <v>0</v>
      </c>
      <c r="BA55" t="str">
        <f ca="1">IF((OFFSET($A$1, 55 - 1, 51 - 1)) &gt;= (OFFSET($A$1, 68 - 1, 7 - 1)), "1","0")</f>
        <v>0</v>
      </c>
      <c r="BB55">
        <f ca="1" xml:space="preserve"> IF( AND( OFFSET($A$1, 55 - 1, 52 - 1) = "1", OFFSET($A$1, 55 - 1, 53 - 1) = "1" ), 1, IF( AND( OFFSET($A$1, 55 - 1, 52 - 1) = "1", OFFSET($A$1, 55 - 1, 53 - 1) = "0" ), 2, IF( AND( OFFSET($A$1, 55 - 1, 52 - 1) = "0", OFFSET($A$1, 55 - 1, 53 - 1) = "1" ), 3, 4 ) ) )</f>
        <v>4</v>
      </c>
      <c r="BD55" s="7">
        <v>0.20117804359590838</v>
      </c>
      <c r="BE55" s="7" t="str">
        <f>"1"</f>
        <v>1</v>
      </c>
      <c r="BF55" t="str">
        <f ca="1">IF((OFFSET($A$1, 55 - 1, 56 - 1)) &gt;= (OFFSET($A$1, 92 - 1, 7 - 1)), "1","0")</f>
        <v>0</v>
      </c>
      <c r="BG55">
        <f ca="1" xml:space="preserve"> IF( AND( OFFSET($A$1, 55 - 1, 57 - 1) = "1", OFFSET($A$1, 55 - 1, 58 - 1) = "1" ), 1, IF( AND( OFFSET($A$1, 55 - 1, 57 - 1) = "1", OFFSET($A$1, 55 - 1, 58 - 1) = "0" ), 2, IF( AND( OFFSET($A$1, 55 - 1, 57 - 1) = "0", OFFSET($A$1, 55 - 1, 58 - 1) = "1" ), 3, 4 ) ) )</f>
        <v>2</v>
      </c>
    </row>
    <row r="56" spans="2:59" x14ac:dyDescent="0.25">
      <c r="C56" s="9" t="s">
        <v>0</v>
      </c>
      <c r="D56" s="7">
        <v>49.925261141029587</v>
      </c>
      <c r="AY56" s="7">
        <v>0.1550456480560857</v>
      </c>
      <c r="AZ56" s="7" t="str">
        <f>"0"</f>
        <v>0</v>
      </c>
      <c r="BA56" t="str">
        <f ca="1">IF((OFFSET($A$1, 56 - 1, 51 - 1)) &gt;= (OFFSET($A$1, 68 - 1, 7 - 1)), "1","0")</f>
        <v>0</v>
      </c>
      <c r="BB56">
        <f ca="1" xml:space="preserve"> IF( AND( OFFSET($A$1, 56 - 1, 52 - 1) = "1", OFFSET($A$1, 56 - 1, 53 - 1) = "1" ), 1, IF( AND( OFFSET($A$1, 56 - 1, 52 - 1) = "1", OFFSET($A$1, 56 - 1, 53 - 1) = "0" ), 2, IF( AND( OFFSET($A$1, 56 - 1, 52 - 1) = "0", OFFSET($A$1, 56 - 1, 53 - 1) = "1" ), 3, 4 ) ) )</f>
        <v>4</v>
      </c>
      <c r="BD56" s="7">
        <v>0.12676626407826649</v>
      </c>
      <c r="BE56" s="7" t="str">
        <f>"0"</f>
        <v>0</v>
      </c>
      <c r="BF56" t="str">
        <f ca="1">IF((OFFSET($A$1, 56 - 1, 56 - 1)) &gt;= (OFFSET($A$1, 92 - 1, 7 - 1)), "1","0")</f>
        <v>0</v>
      </c>
      <c r="BG56">
        <f ca="1" xml:space="preserve"> IF( AND( OFFSET($A$1, 56 - 1, 57 - 1) = "1", OFFSET($A$1, 56 - 1, 58 - 1) = "1" ), 1, IF( AND( OFFSET($A$1, 56 - 1, 57 - 1) = "1", OFFSET($A$1, 56 - 1, 58 - 1) = "0" ), 2, IF( AND( OFFSET($A$1, 56 - 1, 57 - 1) = "0", OFFSET($A$1, 56 - 1, 58 - 1) = "1" ), 3, 4 ) ) )</f>
        <v>4</v>
      </c>
    </row>
    <row r="57" spans="2:59" x14ac:dyDescent="0.25">
      <c r="AY57" s="7">
        <v>0.20527941060246108</v>
      </c>
      <c r="AZ57" s="7" t="str">
        <f>"1"</f>
        <v>1</v>
      </c>
      <c r="BA57" t="str">
        <f ca="1">IF((OFFSET($A$1, 57 - 1, 51 - 1)) &gt;= (OFFSET($A$1, 68 - 1, 7 - 1)), "1","0")</f>
        <v>0</v>
      </c>
      <c r="BB57">
        <f ca="1" xml:space="preserve"> IF( AND( OFFSET($A$1, 57 - 1, 52 - 1) = "1", OFFSET($A$1, 57 - 1, 53 - 1) = "1" ), 1, IF( AND( OFFSET($A$1, 57 - 1, 52 - 1) = "1", OFFSET($A$1, 57 - 1, 53 - 1) = "0" ), 2, IF( AND( OFFSET($A$1, 57 - 1, 52 - 1) = "0", OFFSET($A$1, 57 - 1, 53 - 1) = "1" ), 3, 4 ) ) )</f>
        <v>2</v>
      </c>
      <c r="BD57" s="7">
        <v>0.11793019951107805</v>
      </c>
      <c r="BE57" s="7" t="str">
        <f>"0"</f>
        <v>0</v>
      </c>
      <c r="BF57" t="str">
        <f ca="1">IF((OFFSET($A$1, 57 - 1, 56 - 1)) &gt;= (OFFSET($A$1, 92 - 1, 7 - 1)), "1","0")</f>
        <v>0</v>
      </c>
      <c r="BG57">
        <f ca="1" xml:space="preserve"> IF( AND( OFFSET($A$1, 57 - 1, 57 - 1) = "1", OFFSET($A$1, 57 - 1, 58 - 1) = "1" ), 1, IF( AND( OFFSET($A$1, 57 - 1, 57 - 1) = "1", OFFSET($A$1, 57 - 1, 58 - 1) = "0" ), 2, IF( AND( OFFSET($A$1, 57 - 1, 57 - 1) = "0", OFFSET($A$1, 57 - 1, 58 - 1) = "1" ), 3, 4 ) ) )</f>
        <v>4</v>
      </c>
    </row>
    <row r="58" spans="2:59" x14ac:dyDescent="0.25">
      <c r="AY58" s="7">
        <v>0.20839591789254663</v>
      </c>
      <c r="AZ58" s="7" t="str">
        <f>"1"</f>
        <v>1</v>
      </c>
      <c r="BA58" t="str">
        <f ca="1">IF((OFFSET($A$1, 58 - 1, 51 - 1)) &gt;= (OFFSET($A$1, 68 - 1, 7 - 1)), "1","0")</f>
        <v>0</v>
      </c>
      <c r="BB58">
        <f ca="1" xml:space="preserve"> IF( AND( OFFSET($A$1, 58 - 1, 52 - 1) = "1", OFFSET($A$1, 58 - 1, 53 - 1) = "1" ), 1, IF( AND( OFFSET($A$1, 58 - 1, 52 - 1) = "1", OFFSET($A$1, 58 - 1, 53 - 1) = "0" ), 2, IF( AND( OFFSET($A$1, 58 - 1, 52 - 1) = "0", OFFSET($A$1, 58 - 1, 53 - 1) = "1" ), 3, 4 ) ) )</f>
        <v>2</v>
      </c>
      <c r="BD58" s="7">
        <v>0.21154714473978944</v>
      </c>
      <c r="BE58" s="7" t="str">
        <f>"0"</f>
        <v>0</v>
      </c>
      <c r="BF58" t="str">
        <f ca="1">IF((OFFSET($A$1, 58 - 1, 56 - 1)) &gt;= (OFFSET($A$1, 92 - 1, 7 - 1)), "1","0")</f>
        <v>0</v>
      </c>
      <c r="BG58">
        <f ca="1" xml:space="preserve"> IF( AND( OFFSET($A$1, 58 - 1, 57 - 1) = "1", OFFSET($A$1, 58 - 1, 58 - 1) = "1" ), 1, IF( AND( OFFSET($A$1, 58 - 1, 57 - 1) = "1", OFFSET($A$1, 58 - 1, 58 - 1) = "0" ), 2, IF( AND( OFFSET($A$1, 58 - 1, 57 - 1) = "0", OFFSET($A$1, 58 - 1, 58 - 1) = "1" ), 3, 4 ) ) )</f>
        <v>4</v>
      </c>
    </row>
    <row r="59" spans="2:59" ht="18.75" x14ac:dyDescent="0.3">
      <c r="B59" s="26" t="s">
        <v>116</v>
      </c>
      <c r="AY59" s="7">
        <v>0.25445392688573715</v>
      </c>
      <c r="AZ59" s="7" t="str">
        <f>"0"</f>
        <v>0</v>
      </c>
      <c r="BA59" t="str">
        <f ca="1">IF((OFFSET($A$1, 59 - 1, 51 - 1)) &gt;= (OFFSET($A$1, 68 - 1, 7 - 1)), "1","0")</f>
        <v>0</v>
      </c>
      <c r="BB59">
        <f ca="1" xml:space="preserve"> IF( AND( OFFSET($A$1, 59 - 1, 52 - 1) = "1", OFFSET($A$1, 59 - 1, 53 - 1) = "1" ), 1, IF( AND( OFFSET($A$1, 59 - 1, 52 - 1) = "1", OFFSET($A$1, 59 - 1, 53 - 1) = "0" ), 2, IF( AND( OFFSET($A$1, 59 - 1, 52 - 1) = "0", OFFSET($A$1, 59 - 1, 53 - 1) = "1" ), 3, 4 ) ) )</f>
        <v>4</v>
      </c>
      <c r="BD59" s="7">
        <v>0.24146718041552676</v>
      </c>
      <c r="BE59" s="7" t="str">
        <f>"0"</f>
        <v>0</v>
      </c>
      <c r="BF59" t="str">
        <f ca="1">IF((OFFSET($A$1, 59 - 1, 56 - 1)) &gt;= (OFFSET($A$1, 92 - 1, 7 - 1)), "1","0")</f>
        <v>0</v>
      </c>
      <c r="BG59">
        <f ca="1" xml:space="preserve"> IF( AND( OFFSET($A$1, 59 - 1, 57 - 1) = "1", OFFSET($A$1, 59 - 1, 58 - 1) = "1" ), 1, IF( AND( OFFSET($A$1, 59 - 1, 57 - 1) = "1", OFFSET($A$1, 59 - 1, 58 - 1) = "0" ), 2, IF( AND( OFFSET($A$1, 59 - 1, 57 - 1) = "0", OFFSET($A$1, 59 - 1, 58 - 1) = "1" ), 3, 4 ) ) )</f>
        <v>4</v>
      </c>
    </row>
    <row r="60" spans="2:59" x14ac:dyDescent="0.25">
      <c r="AY60" s="7">
        <v>0.2484943399125106</v>
      </c>
      <c r="AZ60" s="7" t="str">
        <f>"0"</f>
        <v>0</v>
      </c>
      <c r="BA60" t="str">
        <f ca="1">IF((OFFSET($A$1, 60 - 1, 51 - 1)) &gt;= (OFFSET($A$1, 68 - 1, 7 - 1)), "1","0")</f>
        <v>0</v>
      </c>
      <c r="BB60">
        <f ca="1" xml:space="preserve"> IF( AND( OFFSET($A$1, 60 - 1, 52 - 1) = "1", OFFSET($A$1, 60 - 1, 53 - 1) = "1" ), 1, IF( AND( OFFSET($A$1, 60 - 1, 52 - 1) = "1", OFFSET($A$1, 60 - 1, 53 - 1) = "0" ), 2, IF( AND( OFFSET($A$1, 60 - 1, 52 - 1) = "0", OFFSET($A$1, 60 - 1, 53 - 1) = "1" ), 3, 4 ) ) )</f>
        <v>4</v>
      </c>
      <c r="BD60" s="7">
        <v>0.14378341048428475</v>
      </c>
      <c r="BE60" s="7" t="str">
        <f>"0"</f>
        <v>0</v>
      </c>
      <c r="BF60" t="str">
        <f ca="1">IF((OFFSET($A$1, 60 - 1, 56 - 1)) &gt;= (OFFSET($A$1, 92 - 1, 7 - 1)), "1","0")</f>
        <v>0</v>
      </c>
      <c r="BG60">
        <f ca="1" xml:space="preserve"> IF( AND( OFFSET($A$1, 60 - 1, 57 - 1) = "1", OFFSET($A$1, 60 - 1, 58 - 1) = "1" ), 1, IF( AND( OFFSET($A$1, 60 - 1, 57 - 1) = "1", OFFSET($A$1, 60 - 1, 58 - 1) = "0" ), 2, IF( AND( OFFSET($A$1, 60 - 1, 57 - 1) = "0", OFFSET($A$1, 60 - 1, 58 - 1) = "1" ), 3, 4 ) ) )</f>
        <v>4</v>
      </c>
    </row>
    <row r="61" spans="2:59" ht="25.5" x14ac:dyDescent="0.25">
      <c r="C61" s="30" t="s">
        <v>117</v>
      </c>
      <c r="D61" s="28" t="s">
        <v>118</v>
      </c>
      <c r="E61" s="28" t="s">
        <v>119</v>
      </c>
      <c r="F61" s="28" t="s">
        <v>120</v>
      </c>
      <c r="G61" s="28" t="s">
        <v>121</v>
      </c>
      <c r="H61" s="28" t="s">
        <v>122</v>
      </c>
      <c r="I61" s="28" t="s">
        <v>123</v>
      </c>
      <c r="J61" s="28" t="s">
        <v>124</v>
      </c>
      <c r="L61" s="9" t="s">
        <v>125</v>
      </c>
      <c r="M61" s="7">
        <v>298</v>
      </c>
      <c r="AY61" s="7">
        <v>0.14456473871088638</v>
      </c>
      <c r="AZ61" s="7" t="str">
        <f>"0"</f>
        <v>0</v>
      </c>
      <c r="BA61" t="str">
        <f ca="1">IF((OFFSET($A$1, 61 - 1, 51 - 1)) &gt;= (OFFSET($A$1, 68 - 1, 7 - 1)), "1","0")</f>
        <v>0</v>
      </c>
      <c r="BB61">
        <f ca="1" xml:space="preserve"> IF( AND( OFFSET($A$1, 61 - 1, 52 - 1) = "1", OFFSET($A$1, 61 - 1, 53 - 1) = "1" ), 1, IF( AND( OFFSET($A$1, 61 - 1, 52 - 1) = "1", OFFSET($A$1, 61 - 1, 53 - 1) = "0" ), 2, IF( AND( OFFSET($A$1, 61 - 1, 52 - 1) = "0", OFFSET($A$1, 61 - 1, 53 - 1) = "1" ), 3, 4 ) ) )</f>
        <v>4</v>
      </c>
      <c r="BD61" s="7">
        <v>0.1991504722994584</v>
      </c>
      <c r="BE61" s="7" t="str">
        <f>"0"</f>
        <v>0</v>
      </c>
      <c r="BF61" t="str">
        <f ca="1">IF((OFFSET($A$1, 61 - 1, 56 - 1)) &gt;= (OFFSET($A$1, 92 - 1, 7 - 1)), "1","0")</f>
        <v>0</v>
      </c>
      <c r="BG61">
        <f ca="1" xml:space="preserve"> IF( AND( OFFSET($A$1, 61 - 1, 57 - 1) = "1", OFFSET($A$1, 61 - 1, 58 - 1) = "1" ), 1, IF( AND( OFFSET($A$1, 61 - 1, 57 - 1) = "1", OFFSET($A$1, 61 - 1, 58 - 1) = "0" ), 2, IF( AND( OFFSET($A$1, 61 - 1, 57 - 1) = "0", OFFSET($A$1, 61 - 1, 58 - 1) = "1" ), 3, 4 ) ) )</f>
        <v>4</v>
      </c>
    </row>
    <row r="62" spans="2:59" x14ac:dyDescent="0.25">
      <c r="C62" s="9" t="s">
        <v>115</v>
      </c>
      <c r="D62" s="7">
        <v>0.37510067161881622</v>
      </c>
      <c r="E62" s="7">
        <v>0.98744322182341304</v>
      </c>
      <c r="F62" s="7">
        <v>0.14430169003962137</v>
      </c>
      <c r="G62" s="7">
        <v>0.70404145523779738</v>
      </c>
      <c r="H62" s="7">
        <v>1.4551378983325272</v>
      </c>
      <c r="I62" s="7">
        <v>0.21008302275664628</v>
      </c>
      <c r="J62" s="7">
        <v>10.078997699953915</v>
      </c>
      <c r="L62" s="9" t="s">
        <v>126</v>
      </c>
      <c r="M62" s="7">
        <v>294.07968287420005</v>
      </c>
      <c r="AY62" s="7">
        <v>0.21687635285058307</v>
      </c>
      <c r="AZ62" s="7" t="str">
        <f>"0"</f>
        <v>0</v>
      </c>
      <c r="BA62" t="str">
        <f ca="1">IF((OFFSET($A$1, 62 - 1, 51 - 1)) &gt;= (OFFSET($A$1, 68 - 1, 7 - 1)), "1","0")</f>
        <v>0</v>
      </c>
      <c r="BB62">
        <f ca="1" xml:space="preserve"> IF( AND( OFFSET($A$1, 62 - 1, 52 - 1) = "1", OFFSET($A$1, 62 - 1, 53 - 1) = "1" ), 1, IF( AND( OFFSET($A$1, 62 - 1, 52 - 1) = "1", OFFSET($A$1, 62 - 1, 53 - 1) = "0" ), 2, IF( AND( OFFSET($A$1, 62 - 1, 52 - 1) = "0", OFFSET($A$1, 62 - 1, 53 - 1) = "1" ), 3, 4 ) ) )</f>
        <v>4</v>
      </c>
      <c r="BD62" s="7">
        <v>0.16094184999946912</v>
      </c>
      <c r="BE62" s="7" t="str">
        <f>"0"</f>
        <v>0</v>
      </c>
      <c r="BF62" t="str">
        <f ca="1">IF((OFFSET($A$1, 62 - 1, 56 - 1)) &gt;= (OFFSET($A$1, 92 - 1, 7 - 1)), "1","0")</f>
        <v>0</v>
      </c>
      <c r="BG62">
        <f ca="1" xml:space="preserve"> IF( AND( OFFSET($A$1, 62 - 1, 57 - 1) = "1", OFFSET($A$1, 62 - 1, 58 - 1) = "1" ), 1, IF( AND( OFFSET($A$1, 62 - 1, 57 - 1) = "1", OFFSET($A$1, 62 - 1, 58 - 1) = "0" ), 2, IF( AND( OFFSET($A$1, 62 - 1, 57 - 1) = "0", OFFSET($A$1, 62 - 1, 58 - 1) = "1" ), 3, 4 ) ) )</f>
        <v>4</v>
      </c>
    </row>
    <row r="63" spans="2:59" x14ac:dyDescent="0.25">
      <c r="C63" s="9" t="s">
        <v>0</v>
      </c>
      <c r="D63" s="7">
        <v>-0.63323048899064449</v>
      </c>
      <c r="E63" s="7">
        <v>0.35131317429752701</v>
      </c>
      <c r="F63" s="7">
        <v>3.2488881650125214</v>
      </c>
      <c r="G63" s="7">
        <v>7.1471923828479667E-2</v>
      </c>
      <c r="H63" s="7">
        <v>0.53087404514681735</v>
      </c>
      <c r="I63" s="7">
        <v>0.26665711539080905</v>
      </c>
      <c r="J63" s="7">
        <v>1.0568900492210866</v>
      </c>
      <c r="L63" s="9" t="s">
        <v>127</v>
      </c>
      <c r="M63" s="7">
        <v>2</v>
      </c>
      <c r="AY63" s="7">
        <v>0.21687635285058307</v>
      </c>
      <c r="AZ63" s="7" t="str">
        <f>"0"</f>
        <v>0</v>
      </c>
      <c r="BA63" t="str">
        <f ca="1">IF((OFFSET($A$1, 63 - 1, 51 - 1)) &gt;= (OFFSET($A$1, 68 - 1, 7 - 1)), "1","0")</f>
        <v>0</v>
      </c>
      <c r="BB63">
        <f ca="1" xml:space="preserve"> IF( AND( OFFSET($A$1, 63 - 1, 52 - 1) = "1", OFFSET($A$1, 63 - 1, 53 - 1) = "1" ), 1, IF( AND( OFFSET($A$1, 63 - 1, 52 - 1) = "1", OFFSET($A$1, 63 - 1, 53 - 1) = "0" ), 2, IF( AND( OFFSET($A$1, 63 - 1, 52 - 1) = "0", OFFSET($A$1, 63 - 1, 53 - 1) = "1" ), 3, 4 ) ) )</f>
        <v>4</v>
      </c>
      <c r="BD63" s="7">
        <v>0.13467939770471385</v>
      </c>
      <c r="BE63" s="7" t="str">
        <f>"0"</f>
        <v>0</v>
      </c>
      <c r="BF63" t="str">
        <f ca="1">IF((OFFSET($A$1, 63 - 1, 56 - 1)) &gt;= (OFFSET($A$1, 92 - 1, 7 - 1)), "1","0")</f>
        <v>0</v>
      </c>
      <c r="BG63">
        <f ca="1" xml:space="preserve"> IF( AND( OFFSET($A$1, 63 - 1, 57 - 1) = "1", OFFSET($A$1, 63 - 1, 58 - 1) = "1" ), 1, IF( AND( OFFSET($A$1, 63 - 1, 57 - 1) = "1", OFFSET($A$1, 63 - 1, 58 - 1) = "0" ), 2, IF( AND( OFFSET($A$1, 63 - 1, 57 - 1) = "0", OFFSET($A$1, 63 - 1, 58 - 1) = "1" ), 3, 4 ) ) )</f>
        <v>4</v>
      </c>
    </row>
    <row r="64" spans="2:59" x14ac:dyDescent="0.25">
      <c r="L64" s="9" t="s">
        <v>128</v>
      </c>
      <c r="M64" s="7">
        <v>1.1323869129933328E-2</v>
      </c>
      <c r="AY64" s="7">
        <v>0.21473309647067179</v>
      </c>
      <c r="AZ64" s="7" t="str">
        <f>"0"</f>
        <v>0</v>
      </c>
      <c r="BA64" t="str">
        <f ca="1">IF((OFFSET($A$1, 64 - 1, 51 - 1)) &gt;= (OFFSET($A$1, 68 - 1, 7 - 1)), "1","0")</f>
        <v>0</v>
      </c>
      <c r="BB64">
        <f ca="1" xml:space="preserve"> IF( AND( OFFSET($A$1, 64 - 1, 52 - 1) = "1", OFFSET($A$1, 64 - 1, 53 - 1) = "1" ), 1, IF( AND( OFFSET($A$1, 64 - 1, 52 - 1) = "1", OFFSET($A$1, 64 - 1, 53 - 1) = "0" ), 2, IF( AND( OFFSET($A$1, 64 - 1, 52 - 1) = "0", OFFSET($A$1, 64 - 1, 53 - 1) = "1" ), 3, 4 ) ) )</f>
        <v>4</v>
      </c>
      <c r="BD64" s="7">
        <v>0.21049287747773748</v>
      </c>
      <c r="BE64" s="7" t="str">
        <f>"0"</f>
        <v>0</v>
      </c>
      <c r="BF64" t="str">
        <f ca="1">IF((OFFSET($A$1, 64 - 1, 56 - 1)) &gt;= (OFFSET($A$1, 92 - 1, 7 - 1)), "1","0")</f>
        <v>0</v>
      </c>
      <c r="BG64">
        <f ca="1" xml:space="preserve"> IF( AND( OFFSET($A$1, 64 - 1, 57 - 1) = "1", OFFSET($A$1, 64 - 1, 58 - 1) = "1" ), 1, IF( AND( OFFSET($A$1, 64 - 1, 57 - 1) = "1", OFFSET($A$1, 64 - 1, 58 - 1) = "0" ), 2, IF( AND( OFFSET($A$1, 64 - 1, 57 - 1) = "0", OFFSET($A$1, 64 - 1, 58 - 1) = "1" ), 3, 4 ) ) )</f>
        <v>4</v>
      </c>
    </row>
    <row r="65" spans="2:59" x14ac:dyDescent="0.25">
      <c r="AY65" s="7">
        <v>0.27288928854661604</v>
      </c>
      <c r="AZ65" s="7" t="str">
        <f>"0"</f>
        <v>0</v>
      </c>
      <c r="BA65" t="str">
        <f ca="1">IF((OFFSET($A$1, 65 - 1, 51 - 1)) &gt;= (OFFSET($A$1, 68 - 1, 7 - 1)), "1","0")</f>
        <v>0</v>
      </c>
      <c r="BB65">
        <f ca="1" xml:space="preserve"> IF( AND( OFFSET($A$1, 65 - 1, 52 - 1) = "1", OFFSET($A$1, 65 - 1, 53 - 1) = "1" ), 1, IF( AND( OFFSET($A$1, 65 - 1, 52 - 1) = "1", OFFSET($A$1, 65 - 1, 53 - 1) = "0" ), 2, IF( AND( OFFSET($A$1, 65 - 1, 52 - 1) = "0", OFFSET($A$1, 65 - 1, 53 - 1) = "1" ), 3, 4 ) ) )</f>
        <v>4</v>
      </c>
      <c r="BD65" s="7">
        <v>0.22230196043449058</v>
      </c>
      <c r="BE65" s="7" t="str">
        <f>"0"</f>
        <v>0</v>
      </c>
      <c r="BF65" t="str">
        <f ca="1">IF((OFFSET($A$1, 65 - 1, 56 - 1)) &gt;= (OFFSET($A$1, 92 - 1, 7 - 1)), "1","0")</f>
        <v>0</v>
      </c>
      <c r="BG65">
        <f ca="1" xml:space="preserve"> IF( AND( OFFSET($A$1, 65 - 1, 57 - 1) = "1", OFFSET($A$1, 65 - 1, 58 - 1) = "1" ), 1, IF( AND( OFFSET($A$1, 65 - 1, 57 - 1) = "1", OFFSET($A$1, 65 - 1, 58 - 1) = "0" ), 2, IF( AND( OFFSET($A$1, 65 - 1, 57 - 1) = "0", OFFSET($A$1, 65 - 1, 58 - 1) = "1" ), 3, 4 ) ) )</f>
        <v>4</v>
      </c>
    </row>
    <row r="66" spans="2:59" ht="18.75" x14ac:dyDescent="0.3">
      <c r="B66" s="26" t="s">
        <v>138</v>
      </c>
      <c r="AY66" s="7">
        <v>0.17327608298152103</v>
      </c>
      <c r="AZ66" s="7" t="str">
        <f>"0"</f>
        <v>0</v>
      </c>
      <c r="BA66" t="str">
        <f ca="1">IF((OFFSET($A$1, 66 - 1, 51 - 1)) &gt;= (OFFSET($A$1, 68 - 1, 7 - 1)), "1","0")</f>
        <v>0</v>
      </c>
      <c r="BB66">
        <f ca="1" xml:space="preserve"> IF( AND( OFFSET($A$1, 66 - 1, 52 - 1) = "1", OFFSET($A$1, 66 - 1, 53 - 1) = "1" ), 1, IF( AND( OFFSET($A$1, 66 - 1, 52 - 1) = "1", OFFSET($A$1, 66 - 1, 53 - 1) = "0" ), 2, IF( AND( OFFSET($A$1, 66 - 1, 52 - 1) = "0", OFFSET($A$1, 66 - 1, 53 - 1) = "1" ), 3, 4 ) ) )</f>
        <v>4</v>
      </c>
      <c r="BD66" s="7">
        <v>0.16352373764916295</v>
      </c>
      <c r="BE66" s="7" t="str">
        <f>"0"</f>
        <v>0</v>
      </c>
      <c r="BF66" t="str">
        <f ca="1">IF((OFFSET($A$1, 66 - 1, 56 - 1)) &gt;= (OFFSET($A$1, 92 - 1, 7 - 1)), "1","0")</f>
        <v>0</v>
      </c>
      <c r="BG66">
        <f ca="1" xml:space="preserve"> IF( AND( OFFSET($A$1, 66 - 1, 57 - 1) = "1", OFFSET($A$1, 66 - 1, 58 - 1) = "1" ), 1, IF( AND( OFFSET($A$1, 66 - 1, 57 - 1) = "1", OFFSET($A$1, 66 - 1, 58 - 1) = "0" ), 2, IF( AND( OFFSET($A$1, 66 - 1, 57 - 1) = "0", OFFSET($A$1, 66 - 1, 58 - 1) = "1" ), 3, 4 ) ) )</f>
        <v>4</v>
      </c>
    </row>
    <row r="67" spans="2:59" x14ac:dyDescent="0.25">
      <c r="AY67" s="7">
        <v>0.1951414900904731</v>
      </c>
      <c r="AZ67" s="7" t="str">
        <f>"1"</f>
        <v>1</v>
      </c>
      <c r="BA67" t="str">
        <f ca="1">IF((OFFSET($A$1, 67 - 1, 51 - 1)) &gt;= (OFFSET($A$1, 68 - 1, 7 - 1)), "1","0")</f>
        <v>0</v>
      </c>
      <c r="BB67">
        <f ca="1" xml:space="preserve"> IF( AND( OFFSET($A$1, 67 - 1, 52 - 1) = "1", OFFSET($A$1, 67 - 1, 53 - 1) = "1" ), 1, IF( AND( OFFSET($A$1, 67 - 1, 52 - 1) = "1", OFFSET($A$1, 67 - 1, 53 - 1) = "0" ), 2, IF( AND( OFFSET($A$1, 67 - 1, 52 - 1) = "0", OFFSET($A$1, 67 - 1, 53 - 1) = "1" ), 3, 4 ) ) )</f>
        <v>2</v>
      </c>
      <c r="BD67" s="7">
        <v>0.19316004682073504</v>
      </c>
      <c r="BE67" s="7" t="str">
        <f>"0"</f>
        <v>0</v>
      </c>
      <c r="BF67" t="str">
        <f ca="1">IF((OFFSET($A$1, 67 - 1, 56 - 1)) &gt;= (OFFSET($A$1, 92 - 1, 7 - 1)), "1","0")</f>
        <v>0</v>
      </c>
      <c r="BG67">
        <f ca="1" xml:space="preserve"> IF( AND( OFFSET($A$1, 67 - 1, 57 - 1) = "1", OFFSET($A$1, 67 - 1, 58 - 1) = "1" ), 1, IF( AND( OFFSET($A$1, 67 - 1, 57 - 1) = "1", OFFSET($A$1, 67 - 1, 58 - 1) = "0" ), 2, IF( AND( OFFSET($A$1, 67 - 1, 57 - 1) = "0", OFFSET($A$1, 67 - 1, 58 - 1) = "1" ), 3, 4 ) ) )</f>
        <v>4</v>
      </c>
    </row>
    <row r="68" spans="2:59" x14ac:dyDescent="0.25">
      <c r="C68" s="41" t="s">
        <v>139</v>
      </c>
      <c r="D68" s="42"/>
      <c r="E68" s="42"/>
      <c r="F68" s="43"/>
      <c r="G68" s="31">
        <v>0.5</v>
      </c>
      <c r="H68" s="41" t="s">
        <v>140</v>
      </c>
      <c r="I68" s="42"/>
      <c r="J68" s="42"/>
      <c r="K68" s="42"/>
      <c r="L68" s="42"/>
      <c r="M68" s="43"/>
      <c r="AY68" s="7">
        <v>0.148524415601784</v>
      </c>
      <c r="AZ68" s="7" t="str">
        <f>"0"</f>
        <v>0</v>
      </c>
      <c r="BA68" t="str">
        <f ca="1">IF((OFFSET($A$1, 68 - 1, 51 - 1)) &gt;= (OFFSET($A$1, 68 - 1, 7 - 1)), "1","0")</f>
        <v>0</v>
      </c>
      <c r="BB68">
        <f ca="1" xml:space="preserve"> IF( AND( OFFSET($A$1, 68 - 1, 52 - 1) = "1", OFFSET($A$1, 68 - 1, 53 - 1) = "1" ), 1, IF( AND( OFFSET($A$1, 68 - 1, 52 - 1) = "1", OFFSET($A$1, 68 - 1, 53 - 1) = "0" ), 2, IF( AND( OFFSET($A$1, 68 - 1, 52 - 1) = "0", OFFSET($A$1, 68 - 1, 53 - 1) = "1" ), 3, 4 ) ) )</f>
        <v>4</v>
      </c>
      <c r="BD68" s="7">
        <v>0.12194014619581467</v>
      </c>
      <c r="BE68" s="7" t="str">
        <f>"0"</f>
        <v>0</v>
      </c>
      <c r="BF68" t="str">
        <f ca="1">IF((OFFSET($A$1, 68 - 1, 56 - 1)) &gt;= (OFFSET($A$1, 92 - 1, 7 - 1)), "1","0")</f>
        <v>0</v>
      </c>
      <c r="BG68">
        <f ca="1" xml:space="preserve"> IF( AND( OFFSET($A$1, 68 - 1, 57 - 1) = "1", OFFSET($A$1, 68 - 1, 58 - 1) = "1" ), 1, IF( AND( OFFSET($A$1, 68 - 1, 57 - 1) = "1", OFFSET($A$1, 68 - 1, 58 - 1) = "0" ), 2, IF( AND( OFFSET($A$1, 68 - 1, 57 - 1) = "0", OFFSET($A$1, 68 - 1, 58 - 1) = "1" ), 3, 4 ) ) )</f>
        <v>4</v>
      </c>
    </row>
    <row r="69" spans="2:59" x14ac:dyDescent="0.25">
      <c r="AY69" s="7">
        <v>0.15013318399277006</v>
      </c>
      <c r="AZ69" s="7" t="str">
        <f>"0"</f>
        <v>0</v>
      </c>
      <c r="BA69" t="str">
        <f ca="1">IF((OFFSET($A$1, 69 - 1, 51 - 1)) &gt;= (OFFSET($A$1, 68 - 1, 7 - 1)), "1","0")</f>
        <v>0</v>
      </c>
      <c r="BB69">
        <f ca="1" xml:space="preserve"> IF( AND( OFFSET($A$1, 69 - 1, 52 - 1) = "1", OFFSET($A$1, 69 - 1, 53 - 1) = "1" ), 1, IF( AND( OFFSET($A$1, 69 - 1, 52 - 1) = "1", OFFSET($A$1, 69 - 1, 53 - 1) = "0" ), 2, IF( AND( OFFSET($A$1, 69 - 1, 52 - 1) = "0", OFFSET($A$1, 69 - 1, 53 - 1) = "1" ), 3, 4 ) ) )</f>
        <v>4</v>
      </c>
      <c r="BD69" s="7">
        <v>0.16179879875698946</v>
      </c>
      <c r="BE69" s="7" t="str">
        <f>"0"</f>
        <v>0</v>
      </c>
      <c r="BF69" t="str">
        <f ca="1">IF((OFFSET($A$1, 69 - 1, 56 - 1)) &gt;= (OFFSET($A$1, 92 - 1, 7 - 1)), "1","0")</f>
        <v>0</v>
      </c>
      <c r="BG69">
        <f ca="1" xml:space="preserve"> IF( AND( OFFSET($A$1, 69 - 1, 57 - 1) = "1", OFFSET($A$1, 69 - 1, 58 - 1) = "1" ), 1, IF( AND( OFFSET($A$1, 69 - 1, 57 - 1) = "1", OFFSET($A$1, 69 - 1, 58 - 1) = "0" ), 2, IF( AND( OFFSET($A$1, 69 - 1, 57 - 1) = "0", OFFSET($A$1, 69 - 1, 58 - 1) = "1" ), 3, 4 ) ) )</f>
        <v>4</v>
      </c>
    </row>
    <row r="70" spans="2:59" x14ac:dyDescent="0.25">
      <c r="C70" s="11" t="s">
        <v>141</v>
      </c>
      <c r="D70" s="12"/>
      <c r="E70" s="13"/>
      <c r="AY70" s="7">
        <v>0.27038360799655531</v>
      </c>
      <c r="AZ70" s="7" t="str">
        <f>"0"</f>
        <v>0</v>
      </c>
      <c r="BA70" t="str">
        <f ca="1">IF((OFFSET($A$1, 70 - 1, 51 - 1)) &gt;= (OFFSET($A$1, 68 - 1, 7 - 1)), "1","0")</f>
        <v>0</v>
      </c>
      <c r="BB70">
        <f ca="1" xml:space="preserve"> IF( AND( OFFSET($A$1, 70 - 1, 52 - 1) = "1", OFFSET($A$1, 70 - 1, 53 - 1) = "1" ), 1, IF( AND( OFFSET($A$1, 70 - 1, 52 - 1) = "1", OFFSET($A$1, 70 - 1, 53 - 1) = "0" ), 2, IF( AND( OFFSET($A$1, 70 - 1, 52 - 1) = "0", OFFSET($A$1, 70 - 1, 53 - 1) = "1" ), 3, 4 ) ) )</f>
        <v>4</v>
      </c>
      <c r="BD70" s="7">
        <v>0.1844330536932097</v>
      </c>
      <c r="BE70" s="7" t="str">
        <f>"1"</f>
        <v>1</v>
      </c>
      <c r="BF70" t="str">
        <f ca="1">IF((OFFSET($A$1, 70 - 1, 56 - 1)) &gt;= (OFFSET($A$1, 92 - 1, 7 - 1)), "1","0")</f>
        <v>0</v>
      </c>
      <c r="BG70">
        <f ca="1" xml:space="preserve"> IF( AND( OFFSET($A$1, 70 - 1, 57 - 1) = "1", OFFSET($A$1, 70 - 1, 58 - 1) = "1" ), 1, IF( AND( OFFSET($A$1, 70 - 1, 57 - 1) = "1", OFFSET($A$1, 70 - 1, 58 - 1) = "0" ), 2, IF( AND( OFFSET($A$1, 70 - 1, 57 - 1) = "0", OFFSET($A$1, 70 - 1, 58 - 1) = "1" ), 3, 4 ) ) )</f>
        <v>2</v>
      </c>
    </row>
    <row r="71" spans="2:59" x14ac:dyDescent="0.25">
      <c r="C71" s="10"/>
      <c r="D71" s="44" t="s">
        <v>142</v>
      </c>
      <c r="E71" s="45"/>
      <c r="AY71" s="7">
        <v>0.24146718041552676</v>
      </c>
      <c r="AZ71" s="7" t="str">
        <f>"0"</f>
        <v>0</v>
      </c>
      <c r="BA71" t="str">
        <f ca="1">IF((OFFSET($A$1, 71 - 1, 51 - 1)) &gt;= (OFFSET($A$1, 68 - 1, 7 - 1)), "1","0")</f>
        <v>0</v>
      </c>
      <c r="BB71">
        <f ca="1" xml:space="preserve"> IF( AND( OFFSET($A$1, 71 - 1, 52 - 1) = "1", OFFSET($A$1, 71 - 1, 53 - 1) = "1" ), 1, IF( AND( OFFSET($A$1, 71 - 1, 52 - 1) = "1", OFFSET($A$1, 71 - 1, 53 - 1) = "0" ), 2, IF( AND( OFFSET($A$1, 71 - 1, 52 - 1) = "0", OFFSET($A$1, 71 - 1, 53 - 1) = "1" ), 3, 4 ) ) )</f>
        <v>4</v>
      </c>
      <c r="BD71" s="7">
        <v>0.18730766843744823</v>
      </c>
      <c r="BE71" s="7" t="str">
        <f>"1"</f>
        <v>1</v>
      </c>
      <c r="BF71" t="str">
        <f ca="1">IF((OFFSET($A$1, 71 - 1, 56 - 1)) &gt;= (OFFSET($A$1, 92 - 1, 7 - 1)), "1","0")</f>
        <v>0</v>
      </c>
      <c r="BG71">
        <f ca="1" xml:space="preserve"> IF( AND( OFFSET($A$1, 71 - 1, 57 - 1) = "1", OFFSET($A$1, 71 - 1, 58 - 1) = "1" ), 1, IF( AND( OFFSET($A$1, 71 - 1, 57 - 1) = "1", OFFSET($A$1, 71 - 1, 58 - 1) = "0" ), 2, IF( AND( OFFSET($A$1, 71 - 1, 57 - 1) = "0", OFFSET($A$1, 71 - 1, 58 - 1) = "1" ), 3, 4 ) ) )</f>
        <v>2</v>
      </c>
    </row>
    <row r="72" spans="2:59" x14ac:dyDescent="0.25">
      <c r="C72" s="9" t="s">
        <v>143</v>
      </c>
      <c r="D72" s="10">
        <v>1</v>
      </c>
      <c r="E72" s="10">
        <v>0</v>
      </c>
      <c r="AY72" s="7">
        <v>0.22893971319916176</v>
      </c>
      <c r="AZ72" s="7" t="str">
        <f>"0"</f>
        <v>0</v>
      </c>
      <c r="BA72" t="str">
        <f ca="1">IF((OFFSET($A$1, 72 - 1, 51 - 1)) &gt;= (OFFSET($A$1, 68 - 1, 7 - 1)), "1","0")</f>
        <v>0</v>
      </c>
      <c r="BB72">
        <f ca="1" xml:space="preserve"> IF( AND( OFFSET($A$1, 72 - 1, 52 - 1) = "1", OFFSET($A$1, 72 - 1, 53 - 1) = "1" ), 1, IF( AND( OFFSET($A$1, 72 - 1, 52 - 1) = "1", OFFSET($A$1, 72 - 1, 53 - 1) = "0" ), 2, IF( AND( OFFSET($A$1, 72 - 1, 52 - 1) = "0", OFFSET($A$1, 72 - 1, 53 - 1) = "1" ), 3, 4 ) ) )</f>
        <v>4</v>
      </c>
      <c r="BD72" s="7">
        <v>0.19814245947234735</v>
      </c>
      <c r="BE72" s="7" t="str">
        <f>"0"</f>
        <v>0</v>
      </c>
      <c r="BF72" t="str">
        <f ca="1">IF((OFFSET($A$1, 72 - 1, 56 - 1)) &gt;= (OFFSET($A$1, 92 - 1, 7 - 1)), "1","0")</f>
        <v>0</v>
      </c>
      <c r="BG72">
        <f ca="1" xml:space="preserve"> IF( AND( OFFSET($A$1, 72 - 1, 57 - 1) = "1", OFFSET($A$1, 72 - 1, 58 - 1) = "1" ), 1, IF( AND( OFFSET($A$1, 72 - 1, 57 - 1) = "1", OFFSET($A$1, 72 - 1, 58 - 1) = "0" ), 2, IF( AND( OFFSET($A$1, 72 - 1, 57 - 1) = "0", OFFSET($A$1, 72 - 1, 58 - 1) = "1" ), 3, 4 ) ) )</f>
        <v>4</v>
      </c>
    </row>
    <row r="73" spans="2:59" x14ac:dyDescent="0.25">
      <c r="C73" s="9">
        <v>1</v>
      </c>
      <c r="D73" s="7">
        <f ca="1" xml:space="preserve"> COUNTIF( OFFSET($A$1, 1 - 1, 54 - 1, 301, 1), 1 )</f>
        <v>0</v>
      </c>
      <c r="E73" s="7">
        <f ca="1" xml:space="preserve"> COUNTIF( OFFSET($A$1, 1 - 1, 54 - 1, 301, 1), 2 )</f>
        <v>59</v>
      </c>
      <c r="AY73" s="7">
        <v>0.19217507898421096</v>
      </c>
      <c r="AZ73" s="7" t="str">
        <f>"0"</f>
        <v>0</v>
      </c>
      <c r="BA73" t="str">
        <f ca="1">IF((OFFSET($A$1, 73 - 1, 51 - 1)) &gt;= (OFFSET($A$1, 68 - 1, 7 - 1)), "1","0")</f>
        <v>0</v>
      </c>
      <c r="BB73">
        <f ca="1" xml:space="preserve"> IF( AND( OFFSET($A$1, 73 - 1, 52 - 1) = "1", OFFSET($A$1, 73 - 1, 53 - 1) = "1" ), 1, IF( AND( OFFSET($A$1, 73 - 1, 52 - 1) = "1", OFFSET($A$1, 73 - 1, 53 - 1) = "0" ), 2, IF( AND( OFFSET($A$1, 73 - 1, 52 - 1) = "0", OFFSET($A$1, 73 - 1, 53 - 1) = "1" ), 3, 4 ) ) )</f>
        <v>4</v>
      </c>
      <c r="BD73" s="7">
        <v>0.18924315865356914</v>
      </c>
      <c r="BE73" s="7" t="str">
        <f>"1"</f>
        <v>1</v>
      </c>
      <c r="BF73" t="str">
        <f ca="1">IF((OFFSET($A$1, 73 - 1, 56 - 1)) &gt;= (OFFSET($A$1, 92 - 1, 7 - 1)), "1","0")</f>
        <v>0</v>
      </c>
      <c r="BG73">
        <f ca="1" xml:space="preserve"> IF( AND( OFFSET($A$1, 73 - 1, 57 - 1) = "1", OFFSET($A$1, 73 - 1, 58 - 1) = "1" ), 1, IF( AND( OFFSET($A$1, 73 - 1, 57 - 1) = "1", OFFSET($A$1, 73 - 1, 58 - 1) = "0" ), 2, IF( AND( OFFSET($A$1, 73 - 1, 57 - 1) = "0", OFFSET($A$1, 73 - 1, 58 - 1) = "1" ), 3, 4 ) ) )</f>
        <v>2</v>
      </c>
    </row>
    <row r="74" spans="2:59" x14ac:dyDescent="0.25">
      <c r="C74" s="9">
        <v>0</v>
      </c>
      <c r="D74" s="7">
        <f ca="1" xml:space="preserve"> COUNTIF( OFFSET($A$1, 1 - 1, 54 - 1, 301, 1), 3 )</f>
        <v>0</v>
      </c>
      <c r="E74" s="7">
        <f ca="1" xml:space="preserve"> COUNTIF( OFFSET($A$1, 1 - 1, 54 - 1, 301, 1), 4 )</f>
        <v>241</v>
      </c>
      <c r="AY74" s="7">
        <v>0.16790078346362572</v>
      </c>
      <c r="AZ74" s="7" t="str">
        <f>"0"</f>
        <v>0</v>
      </c>
      <c r="BA74" t="str">
        <f ca="1">IF((OFFSET($A$1, 74 - 1, 51 - 1)) &gt;= (OFFSET($A$1, 68 - 1, 7 - 1)), "1","0")</f>
        <v>0</v>
      </c>
      <c r="BB74">
        <f ca="1" xml:space="preserve"> IF( AND( OFFSET($A$1, 74 - 1, 52 - 1) = "1", OFFSET($A$1, 74 - 1, 53 - 1) = "1" ), 1, IF( AND( OFFSET($A$1, 74 - 1, 52 - 1) = "1", OFFSET($A$1, 74 - 1, 53 - 1) = "0" ), 2, IF( AND( OFFSET($A$1, 74 - 1, 52 - 1) = "0", OFFSET($A$1, 74 - 1, 53 - 1) = "1" ), 3, 4 ) ) )</f>
        <v>4</v>
      </c>
      <c r="BD74" s="7">
        <v>0.25086691670634931</v>
      </c>
      <c r="BE74" s="7" t="str">
        <f>"0"</f>
        <v>0</v>
      </c>
      <c r="BF74" t="str">
        <f ca="1">IF((OFFSET($A$1, 74 - 1, 56 - 1)) &gt;= (OFFSET($A$1, 92 - 1, 7 - 1)), "1","0")</f>
        <v>0</v>
      </c>
      <c r="BG74">
        <f ca="1" xml:space="preserve"> IF( AND( OFFSET($A$1, 74 - 1, 57 - 1) = "1", OFFSET($A$1, 74 - 1, 58 - 1) = "1" ), 1, IF( AND( OFFSET($A$1, 74 - 1, 57 - 1) = "1", OFFSET($A$1, 74 - 1, 58 - 1) = "0" ), 2, IF( AND( OFFSET($A$1, 74 - 1, 57 - 1) = "0", OFFSET($A$1, 74 - 1, 58 - 1) = "1" ), 3, 4 ) ) )</f>
        <v>4</v>
      </c>
    </row>
    <row r="75" spans="2:59" x14ac:dyDescent="0.25">
      <c r="AY75" s="7">
        <v>0.14613797832458675</v>
      </c>
      <c r="AZ75" s="7" t="str">
        <f>"0"</f>
        <v>0</v>
      </c>
      <c r="BA75" t="str">
        <f ca="1">IF((OFFSET($A$1, 75 - 1, 51 - 1)) &gt;= (OFFSET($A$1, 68 - 1, 7 - 1)), "1","0")</f>
        <v>0</v>
      </c>
      <c r="BB75">
        <f ca="1" xml:space="preserve"> IF( AND( OFFSET($A$1, 75 - 1, 52 - 1) = "1", OFFSET($A$1, 75 - 1, 53 - 1) = "1" ), 1, IF( AND( OFFSET($A$1, 75 - 1, 52 - 1) = "1", OFFSET($A$1, 75 - 1, 53 - 1) = "0" ), 2, IF( AND( OFFSET($A$1, 75 - 1, 52 - 1) = "0", OFFSET($A$1, 75 - 1, 53 - 1) = "1" ), 3, 4 ) ) )</f>
        <v>4</v>
      </c>
      <c r="BD75" s="7">
        <v>0.20322101952373944</v>
      </c>
      <c r="BE75" s="7" t="str">
        <f>"0"</f>
        <v>0</v>
      </c>
      <c r="BF75" t="str">
        <f ca="1">IF((OFFSET($A$1, 75 - 1, 56 - 1)) &gt;= (OFFSET($A$1, 92 - 1, 7 - 1)), "1","0")</f>
        <v>0</v>
      </c>
      <c r="BG75">
        <f ca="1" xml:space="preserve"> IF( AND( OFFSET($A$1, 75 - 1, 57 - 1) = "1", OFFSET($A$1, 75 - 1, 58 - 1) = "1" ), 1, IF( AND( OFFSET($A$1, 75 - 1, 57 - 1) = "1", OFFSET($A$1, 75 - 1, 58 - 1) = "0" ), 2, IF( AND( OFFSET($A$1, 75 - 1, 57 - 1) = "0", OFFSET($A$1, 75 - 1, 58 - 1) = "1" ), 3, 4 ) ) )</f>
        <v>4</v>
      </c>
    </row>
    <row r="76" spans="2:59" x14ac:dyDescent="0.25">
      <c r="C76" s="11" t="s">
        <v>144</v>
      </c>
      <c r="D76" s="12"/>
      <c r="E76" s="12"/>
      <c r="F76" s="13"/>
      <c r="AY76" s="7">
        <v>0.19613797039107678</v>
      </c>
      <c r="AZ76" s="7" t="str">
        <f>"0"</f>
        <v>0</v>
      </c>
      <c r="BA76" t="str">
        <f ca="1">IF((OFFSET($A$1, 76 - 1, 51 - 1)) &gt;= (OFFSET($A$1, 68 - 1, 7 - 1)), "1","0")</f>
        <v>0</v>
      </c>
      <c r="BB76">
        <f ca="1" xml:space="preserve"> IF( AND( OFFSET($A$1, 76 - 1, 52 - 1) = "1", OFFSET($A$1, 76 - 1, 53 - 1) = "1" ), 1, IF( AND( OFFSET($A$1, 76 - 1, 52 - 1) = "1", OFFSET($A$1, 76 - 1, 53 - 1) = "0" ), 2, IF( AND( OFFSET($A$1, 76 - 1, 52 - 1) = "0", OFFSET($A$1, 76 - 1, 53 - 1) = "1" ), 3, 4 ) ) )</f>
        <v>4</v>
      </c>
      <c r="BD76" s="7">
        <v>0.15257320528922483</v>
      </c>
      <c r="BE76" s="7" t="str">
        <f>"0"</f>
        <v>0</v>
      </c>
      <c r="BF76" t="str">
        <f ca="1">IF((OFFSET($A$1, 76 - 1, 56 - 1)) &gt;= (OFFSET($A$1, 92 - 1, 7 - 1)), "1","0")</f>
        <v>0</v>
      </c>
      <c r="BG76">
        <f ca="1" xml:space="preserve"> IF( AND( OFFSET($A$1, 76 - 1, 57 - 1) = "1", OFFSET($A$1, 76 - 1, 58 - 1) = "1" ), 1, IF( AND( OFFSET($A$1, 76 - 1, 57 - 1) = "1", OFFSET($A$1, 76 - 1, 58 - 1) = "0" ), 2, IF( AND( OFFSET($A$1, 76 - 1, 57 - 1) = "0", OFFSET($A$1, 76 - 1, 58 - 1) = "1" ), 3, 4 ) ) )</f>
        <v>4</v>
      </c>
    </row>
    <row r="77" spans="2:59" x14ac:dyDescent="0.25">
      <c r="C77" s="10" t="s">
        <v>107</v>
      </c>
      <c r="D77" s="10" t="s">
        <v>145</v>
      </c>
      <c r="E77" s="10" t="s">
        <v>146</v>
      </c>
      <c r="F77" s="10" t="s">
        <v>147</v>
      </c>
      <c r="AY77" s="7">
        <v>0.17509782079575215</v>
      </c>
      <c r="AZ77" s="7" t="str">
        <f>"0"</f>
        <v>0</v>
      </c>
      <c r="BA77" t="str">
        <f ca="1">IF((OFFSET($A$1, 77 - 1, 51 - 1)) &gt;= (OFFSET($A$1, 68 - 1, 7 - 1)), "1","0")</f>
        <v>0</v>
      </c>
      <c r="BB77">
        <f ca="1" xml:space="preserve"> IF( AND( OFFSET($A$1, 77 - 1, 52 - 1) = "1", OFFSET($A$1, 77 - 1, 53 - 1) = "1" ), 1, IF( AND( OFFSET($A$1, 77 - 1, 52 - 1) = "1", OFFSET($A$1, 77 - 1, 53 - 1) = "0" ), 2, IF( AND( OFFSET($A$1, 77 - 1, 52 - 1) = "0", OFFSET($A$1, 77 - 1, 53 - 1) = "1" ), 3, 4 ) ) )</f>
        <v>4</v>
      </c>
      <c r="BD77" s="7">
        <v>0.15923896155940181</v>
      </c>
      <c r="BE77" s="7" t="str">
        <f>"1"</f>
        <v>1</v>
      </c>
      <c r="BF77" t="str">
        <f ca="1">IF((OFFSET($A$1, 77 - 1, 56 - 1)) &gt;= (OFFSET($A$1, 92 - 1, 7 - 1)), "1","0")</f>
        <v>0</v>
      </c>
      <c r="BG77">
        <f ca="1" xml:space="preserve"> IF( AND( OFFSET($A$1, 77 - 1, 57 - 1) = "1", OFFSET($A$1, 77 - 1, 58 - 1) = "1" ), 1, IF( AND( OFFSET($A$1, 77 - 1, 57 - 1) = "1", OFFSET($A$1, 77 - 1, 58 - 1) = "0" ), 2, IF( AND( OFFSET($A$1, 77 - 1, 57 - 1) = "0", OFFSET($A$1, 77 - 1, 58 - 1) = "1" ), 3, 4 ) ) )</f>
        <v>2</v>
      </c>
    </row>
    <row r="78" spans="2:59" x14ac:dyDescent="0.25">
      <c r="C78" s="9">
        <v>1</v>
      </c>
      <c r="D78" s="7">
        <f ca="1">SUM(OFFSET($A$1, 73 - 1, 4 - 1, 1, 2))</f>
        <v>59</v>
      </c>
      <c r="E78" s="7">
        <f ca="1">SUM(OFFSET($A$1, 73 - 1, 4 - 1, 1, 2)) - OFFSET($A$1, 73 - 1, 4 - 1)</f>
        <v>59</v>
      </c>
      <c r="F78" s="7">
        <f ca="1">IF(OFFSET($A$1, 78 - 1, 4 - 1)=0,"Undefined",((OFFSET($A$1, 78 - 1, 5 - 1))*100) / (OFFSET($A$1, 78 - 1, 4 - 1)))</f>
        <v>100</v>
      </c>
      <c r="AY78" s="7">
        <v>0.20016233311628359</v>
      </c>
      <c r="AZ78" s="7" t="str">
        <f>"0"</f>
        <v>0</v>
      </c>
      <c r="BA78" t="str">
        <f ca="1">IF((OFFSET($A$1, 78 - 1, 51 - 1)) &gt;= (OFFSET($A$1, 68 - 1, 7 - 1)), "1","0")</f>
        <v>0</v>
      </c>
      <c r="BB78">
        <f ca="1" xml:space="preserve"> IF( AND( OFFSET($A$1, 78 - 1, 52 - 1) = "1", OFFSET($A$1, 78 - 1, 53 - 1) = "1" ), 1, IF( AND( OFFSET($A$1, 78 - 1, 52 - 1) = "1", OFFSET($A$1, 78 - 1, 53 - 1) = "0" ), 2, IF( AND( OFFSET($A$1, 78 - 1, 52 - 1) = "0", OFFSET($A$1, 78 - 1, 53 - 1) = "1" ), 3, 4 ) ) )</f>
        <v>4</v>
      </c>
      <c r="BD78" s="7">
        <v>0.28049274582451672</v>
      </c>
      <c r="BE78" s="7" t="str">
        <f>"0"</f>
        <v>0</v>
      </c>
      <c r="BF78" t="str">
        <f ca="1">IF((OFFSET($A$1, 78 - 1, 56 - 1)) &gt;= (OFFSET($A$1, 92 - 1, 7 - 1)), "1","0")</f>
        <v>0</v>
      </c>
      <c r="BG78">
        <f ca="1" xml:space="preserve"> IF( AND( OFFSET($A$1, 78 - 1, 57 - 1) = "1", OFFSET($A$1, 78 - 1, 58 - 1) = "1" ), 1, IF( AND( OFFSET($A$1, 78 - 1, 57 - 1) = "1", OFFSET($A$1, 78 - 1, 58 - 1) = "0" ), 2, IF( AND( OFFSET($A$1, 78 - 1, 57 - 1) = "0", OFFSET($A$1, 78 - 1, 58 - 1) = "1" ), 3, 4 ) ) )</f>
        <v>4</v>
      </c>
    </row>
    <row r="79" spans="2:59" x14ac:dyDescent="0.25">
      <c r="C79" s="9">
        <v>0</v>
      </c>
      <c r="D79" s="7">
        <f ca="1">SUM(OFFSET($A$1, 74 - 1, 4 - 1, 1, 2))</f>
        <v>241</v>
      </c>
      <c r="E79" s="7">
        <f ca="1">SUM(OFFSET($A$1, 74 - 1, 4 - 1, 1, 2)) - OFFSET($A$1, 74 - 1, 5 - 1)</f>
        <v>0</v>
      </c>
      <c r="F79" s="7">
        <f ca="1">IF(OFFSET($A$1, 79 - 1, 4 - 1)=0,"Undefined",((OFFSET($A$1, 79 - 1, 5 - 1))*100) / (OFFSET($A$1, 79 - 1, 4 - 1)))</f>
        <v>0</v>
      </c>
      <c r="AY79" s="7">
        <v>0.20424828760241162</v>
      </c>
      <c r="AZ79" s="7" t="str">
        <f>"0"</f>
        <v>0</v>
      </c>
      <c r="BA79" t="str">
        <f ca="1">IF((OFFSET($A$1, 79 - 1, 51 - 1)) &gt;= (OFFSET($A$1, 68 - 1, 7 - 1)), "1","0")</f>
        <v>0</v>
      </c>
      <c r="BB79">
        <f ca="1" xml:space="preserve"> IF( AND( OFFSET($A$1, 79 - 1, 52 - 1) = "1", OFFSET($A$1, 79 - 1, 53 - 1) = "1" ), 1, IF( AND( OFFSET($A$1, 79 - 1, 52 - 1) = "1", OFFSET($A$1, 79 - 1, 53 - 1) = "0" ), 2, IF( AND( OFFSET($A$1, 79 - 1, 52 - 1) = "0", OFFSET($A$1, 79 - 1, 53 - 1) = "1" ), 3, 4 ) ) )</f>
        <v>4</v>
      </c>
      <c r="BD79" s="7">
        <v>0.11150086545083167</v>
      </c>
      <c r="BE79" s="7" t="str">
        <f>"0"</f>
        <v>0</v>
      </c>
      <c r="BF79" t="str">
        <f ca="1">IF((OFFSET($A$1, 79 - 1, 56 - 1)) &gt;= (OFFSET($A$1, 92 - 1, 7 - 1)), "1","0")</f>
        <v>0</v>
      </c>
      <c r="BG79">
        <f ca="1" xml:space="preserve"> IF( AND( OFFSET($A$1, 79 - 1, 57 - 1) = "1", OFFSET($A$1, 79 - 1, 58 - 1) = "1" ), 1, IF( AND( OFFSET($A$1, 79 - 1, 57 - 1) = "1", OFFSET($A$1, 79 - 1, 58 - 1) = "0" ), 2, IF( AND( OFFSET($A$1, 79 - 1, 57 - 1) = "0", OFFSET($A$1, 79 - 1, 58 - 1) = "1" ), 3, 4 ) ) )</f>
        <v>4</v>
      </c>
    </row>
    <row r="80" spans="2:59" x14ac:dyDescent="0.25">
      <c r="C80" s="9" t="s">
        <v>148</v>
      </c>
      <c r="D80" s="7">
        <f ca="1">SUM(OFFSET($A$1, 78 - 1, 4 - 1, 2, 1))</f>
        <v>300</v>
      </c>
      <c r="E80" s="7">
        <f ca="1">SUM(OFFSET($A$1, 78 - 1, 5 - 1, 2, 1))</f>
        <v>59</v>
      </c>
      <c r="F80" s="7">
        <f ca="1">IF(OFFSET($A$1, 80 - 1, 4 - 1)=0,"Undefined",((OFFSET($A$1, 80 - 1, 5 - 1))*100) / (OFFSET($A$1, 80 - 1, 4 - 1)))</f>
        <v>19.666666666666668</v>
      </c>
      <c r="AY80" s="7">
        <v>0.28822407866055438</v>
      </c>
      <c r="AZ80" s="7" t="str">
        <f>"0"</f>
        <v>0</v>
      </c>
      <c r="BA80" t="str">
        <f ca="1">IF((OFFSET($A$1, 80 - 1, 51 - 1)) &gt;= (OFFSET($A$1, 68 - 1, 7 - 1)), "1","0")</f>
        <v>0</v>
      </c>
      <c r="BB80">
        <f ca="1" xml:space="preserve"> IF( AND( OFFSET($A$1, 80 - 1, 52 - 1) = "1", OFFSET($A$1, 80 - 1, 53 - 1) = "1" ), 1, IF( AND( OFFSET($A$1, 80 - 1, 52 - 1) = "1", OFFSET($A$1, 80 - 1, 53 - 1) = "0" ), 2, IF( AND( OFFSET($A$1, 80 - 1, 52 - 1) = "0", OFFSET($A$1, 80 - 1, 53 - 1) = "1" ), 3, 4 ) ) )</f>
        <v>4</v>
      </c>
      <c r="BD80" s="7">
        <v>0.27038360799655531</v>
      </c>
      <c r="BE80" s="7" t="str">
        <f>"0"</f>
        <v>0</v>
      </c>
      <c r="BF80" t="str">
        <f ca="1">IF((OFFSET($A$1, 80 - 1, 56 - 1)) &gt;= (OFFSET($A$1, 92 - 1, 7 - 1)), "1","0")</f>
        <v>0</v>
      </c>
      <c r="BG80">
        <f ca="1" xml:space="preserve"> IF( AND( OFFSET($A$1, 80 - 1, 57 - 1) = "1", OFFSET($A$1, 80 - 1, 58 - 1) = "1" ), 1, IF( AND( OFFSET($A$1, 80 - 1, 57 - 1) = "1", OFFSET($A$1, 80 - 1, 58 - 1) = "0" ), 2, IF( AND( OFFSET($A$1, 80 - 1, 57 - 1) = "0", OFFSET($A$1, 80 - 1, 58 - 1) = "1" ), 3, 4 ) ) )</f>
        <v>4</v>
      </c>
    </row>
    <row r="81" spans="2:59" x14ac:dyDescent="0.25">
      <c r="AY81" s="7">
        <v>0.22339863816801717</v>
      </c>
      <c r="AZ81" s="7" t="str">
        <f>"0"</f>
        <v>0</v>
      </c>
      <c r="BA81" t="str">
        <f ca="1">IF((OFFSET($A$1, 81 - 1, 51 - 1)) &gt;= (OFFSET($A$1, 68 - 1, 7 - 1)), "1","0")</f>
        <v>0</v>
      </c>
      <c r="BB81">
        <f ca="1" xml:space="preserve"> IF( AND( OFFSET($A$1, 81 - 1, 52 - 1) = "1", OFFSET($A$1, 81 - 1, 53 - 1) = "1" ), 1, IF( AND( OFFSET($A$1, 81 - 1, 52 - 1) = "1", OFFSET($A$1, 81 - 1, 53 - 1) = "0" ), 2, IF( AND( OFFSET($A$1, 81 - 1, 52 - 1) = "0", OFFSET($A$1, 81 - 1, 53 - 1) = "1" ), 3, 4 ) ) )</f>
        <v>4</v>
      </c>
      <c r="BD81" s="7">
        <v>0.18348246690899619</v>
      </c>
      <c r="BE81" s="7" t="str">
        <f>"0"</f>
        <v>0</v>
      </c>
      <c r="BF81" t="str">
        <f ca="1">IF((OFFSET($A$1, 81 - 1, 56 - 1)) &gt;= (OFFSET($A$1, 92 - 1, 7 - 1)), "1","0")</f>
        <v>0</v>
      </c>
      <c r="BG81">
        <f ca="1" xml:space="preserve"> IF( AND( OFFSET($A$1, 81 - 1, 57 - 1) = "1", OFFSET($A$1, 81 - 1, 58 - 1) = "1" ), 1, IF( AND( OFFSET($A$1, 81 - 1, 57 - 1) = "1", OFFSET($A$1, 81 - 1, 58 - 1) = "0" ), 2, IF( AND( OFFSET($A$1, 81 - 1, 57 - 1) = "0", OFFSET($A$1, 81 - 1, 58 - 1) = "1" ), 3, 4 ) ) )</f>
        <v>4</v>
      </c>
    </row>
    <row r="82" spans="2:59" x14ac:dyDescent="0.25">
      <c r="C82" s="11" t="s">
        <v>149</v>
      </c>
      <c r="D82" s="12"/>
      <c r="E82" s="13"/>
      <c r="AY82" s="7">
        <v>0.13841212205338652</v>
      </c>
      <c r="AZ82" s="7" t="str">
        <f>"0"</f>
        <v>0</v>
      </c>
      <c r="BA82" t="str">
        <f ca="1">IF((OFFSET($A$1, 82 - 1, 51 - 1)) &gt;= (OFFSET($A$1, 68 - 1, 7 - 1)), "1","0")</f>
        <v>0</v>
      </c>
      <c r="BB82">
        <f ca="1" xml:space="preserve"> IF( AND( OFFSET($A$1, 82 - 1, 52 - 1) = "1", OFFSET($A$1, 82 - 1, 53 - 1) = "1" ), 1, IF( AND( OFFSET($A$1, 82 - 1, 52 - 1) = "1", OFFSET($A$1, 82 - 1, 53 - 1) = "0" ), 2, IF( AND( OFFSET($A$1, 82 - 1, 52 - 1) = "0", OFFSET($A$1, 82 - 1, 53 - 1) = "1" ), 3, 4 ) ) )</f>
        <v>4</v>
      </c>
      <c r="BD82" s="7">
        <v>0.24262890831880971</v>
      </c>
      <c r="BE82" s="7" t="str">
        <f>"0"</f>
        <v>0</v>
      </c>
      <c r="BF82" t="str">
        <f ca="1">IF((OFFSET($A$1, 82 - 1, 56 - 1)) &gt;= (OFFSET($A$1, 92 - 1, 7 - 1)), "1","0")</f>
        <v>0</v>
      </c>
      <c r="BG82">
        <f ca="1" xml:space="preserve"> IF( AND( OFFSET($A$1, 82 - 1, 57 - 1) = "1", OFFSET($A$1, 82 - 1, 58 - 1) = "1" ), 1, IF( AND( OFFSET($A$1, 82 - 1, 57 - 1) = "1", OFFSET($A$1, 82 - 1, 58 - 1) = "0" ), 2, IF( AND( OFFSET($A$1, 82 - 1, 57 - 1) = "0", OFFSET($A$1, 82 - 1, 58 - 1) = "1" ), 3, 4 ) ) )</f>
        <v>4</v>
      </c>
    </row>
    <row r="83" spans="2:59" x14ac:dyDescent="0.25">
      <c r="C83" s="14" t="s">
        <v>150</v>
      </c>
      <c r="D83" s="16"/>
      <c r="E83" s="27">
        <v>1</v>
      </c>
      <c r="AY83" s="7">
        <v>0.21473309647067185</v>
      </c>
      <c r="AZ83" s="7" t="str">
        <f>"1"</f>
        <v>1</v>
      </c>
      <c r="BA83" t="str">
        <f ca="1">IF((OFFSET($A$1, 83 - 1, 51 - 1)) &gt;= (OFFSET($A$1, 68 - 1, 7 - 1)), "1","0")</f>
        <v>0</v>
      </c>
      <c r="BB83">
        <f ca="1" xml:space="preserve"> IF( AND( OFFSET($A$1, 83 - 1, 52 - 1) = "1", OFFSET($A$1, 83 - 1, 53 - 1) = "1" ), 1, IF( AND( OFFSET($A$1, 83 - 1, 52 - 1) = "1", OFFSET($A$1, 83 - 1, 53 - 1) = "0" ), 2, IF( AND( OFFSET($A$1, 83 - 1, 52 - 1) = "0", OFFSET($A$1, 83 - 1, 53 - 1) = "1" ), 3, 4 ) ) )</f>
        <v>2</v>
      </c>
      <c r="BD83" s="7">
        <v>0.20322101952373944</v>
      </c>
      <c r="BE83" s="7" t="str">
        <f>"0"</f>
        <v>0</v>
      </c>
      <c r="BF83" t="str">
        <f ca="1">IF((OFFSET($A$1, 83 - 1, 56 - 1)) &gt;= (OFFSET($A$1, 92 - 1, 7 - 1)), "1","0")</f>
        <v>0</v>
      </c>
      <c r="BG83">
        <f ca="1" xml:space="preserve"> IF( AND( OFFSET($A$1, 83 - 1, 57 - 1) = "1", OFFSET($A$1, 83 - 1, 58 - 1) = "1" ), 1, IF( AND( OFFSET($A$1, 83 - 1, 57 - 1) = "1", OFFSET($A$1, 83 - 1, 58 - 1) = "0" ), 2, IF( AND( OFFSET($A$1, 83 - 1, 57 - 1) = "0", OFFSET($A$1, 83 - 1, 58 - 1) = "1" ), 3, 4 ) ) )</f>
        <v>4</v>
      </c>
    </row>
    <row r="84" spans="2:59" x14ac:dyDescent="0.25">
      <c r="C84" s="14" t="s">
        <v>151</v>
      </c>
      <c r="D84" s="16"/>
      <c r="E84" s="27" t="str">
        <f ca="1">IF((OFFSET($A$1, 73 - 1, 4 - 1) + OFFSET($A$1, 74 - 1, 4 - 1)) = 0,"Undefined",OFFSET($A$1, 73 - 1, 4 - 1)/(OFFSET($A$1, 73 - 1, 4 - 1) + OFFSET($A$1, 74 - 1, 4 - 1)))</f>
        <v>Undefined</v>
      </c>
      <c r="AY84" s="7">
        <v>0.21580279613996525</v>
      </c>
      <c r="AZ84" s="7" t="str">
        <f>"0"</f>
        <v>0</v>
      </c>
      <c r="BA84" t="str">
        <f ca="1">IF((OFFSET($A$1, 84 - 1, 51 - 1)) &gt;= (OFFSET($A$1, 68 - 1, 7 - 1)), "1","0")</f>
        <v>0</v>
      </c>
      <c r="BB84">
        <f ca="1" xml:space="preserve"> IF( AND( OFFSET($A$1, 84 - 1, 52 - 1) = "1", OFFSET($A$1, 84 - 1, 53 - 1) = "1" ), 1, IF( AND( OFFSET($A$1, 84 - 1, 52 - 1) = "1", OFFSET($A$1, 84 - 1, 53 - 1) = "0" ), 2, IF( AND( OFFSET($A$1, 84 - 1, 52 - 1) = "0", OFFSET($A$1, 84 - 1, 53 - 1) = "1" ), 3, 4 ) ) )</f>
        <v>4</v>
      </c>
      <c r="BD84" s="7">
        <v>0.2691362121211332</v>
      </c>
      <c r="BE84" s="7" t="str">
        <f>"0"</f>
        <v>0</v>
      </c>
      <c r="BF84" t="str">
        <f ca="1">IF((OFFSET($A$1, 84 - 1, 56 - 1)) &gt;= (OFFSET($A$1, 92 - 1, 7 - 1)), "1","0")</f>
        <v>0</v>
      </c>
      <c r="BG84">
        <f ca="1" xml:space="preserve"> IF( AND( OFFSET($A$1, 84 - 1, 57 - 1) = "1", OFFSET($A$1, 84 - 1, 58 - 1) = "1" ), 1, IF( AND( OFFSET($A$1, 84 - 1, 57 - 1) = "1", OFFSET($A$1, 84 - 1, 58 - 1) = "0" ), 2, IF( AND( OFFSET($A$1, 84 - 1, 57 - 1) = "0", OFFSET($A$1, 84 - 1, 58 - 1) = "1" ), 3, 4 ) ) )</f>
        <v>4</v>
      </c>
    </row>
    <row r="85" spans="2:59" x14ac:dyDescent="0.25">
      <c r="C85" s="14" t="s">
        <v>152</v>
      </c>
      <c r="D85" s="16"/>
      <c r="E85" s="27">
        <f ca="1">IF((OFFSET($A$1, 73 - 1, 4 - 1) + OFFSET($A$1, 73 - 1, 5 - 1)) = 0,"Undefined",OFFSET($A$1, 73 - 1, 4 - 1)/(OFFSET($A$1, 73 - 1, 4 - 1) + OFFSET($A$1, 73 - 1, 5 - 1)))</f>
        <v>0</v>
      </c>
      <c r="AY85" s="7">
        <v>0.27667488888216679</v>
      </c>
      <c r="AZ85" s="7" t="str">
        <f>"0"</f>
        <v>0</v>
      </c>
      <c r="BA85" t="str">
        <f ca="1">IF((OFFSET($A$1, 85 - 1, 51 - 1)) &gt;= (OFFSET($A$1, 68 - 1, 7 - 1)), "1","0")</f>
        <v>0</v>
      </c>
      <c r="BB85">
        <f ca="1" xml:space="preserve"> IF( AND( OFFSET($A$1, 85 - 1, 52 - 1) = "1", OFFSET($A$1, 85 - 1, 53 - 1) = "1" ), 1, IF( AND( OFFSET($A$1, 85 - 1, 52 - 1) = "1", OFFSET($A$1, 85 - 1, 53 - 1) = "0" ), 2, IF( AND( OFFSET($A$1, 85 - 1, 52 - 1) = "0", OFFSET($A$1, 85 - 1, 53 - 1) = "1" ), 3, 4 ) ) )</f>
        <v>4</v>
      </c>
      <c r="BD85" s="7">
        <v>0.16701795594371194</v>
      </c>
      <c r="BE85" s="7" t="str">
        <f>"0"</f>
        <v>0</v>
      </c>
      <c r="BF85" t="str">
        <f ca="1">IF((OFFSET($A$1, 85 - 1, 56 - 1)) &gt;= (OFFSET($A$1, 92 - 1, 7 - 1)), "1","0")</f>
        <v>0</v>
      </c>
      <c r="BG85">
        <f ca="1" xml:space="preserve"> IF( AND( OFFSET($A$1, 85 - 1, 57 - 1) = "1", OFFSET($A$1, 85 - 1, 58 - 1) = "1" ), 1, IF( AND( OFFSET($A$1, 85 - 1, 57 - 1) = "1", OFFSET($A$1, 85 - 1, 58 - 1) = "0" ), 2, IF( AND( OFFSET($A$1, 85 - 1, 57 - 1) = "0", OFFSET($A$1, 85 - 1, 58 - 1) = "1" ), 3, 4 ) ) )</f>
        <v>4</v>
      </c>
    </row>
    <row r="86" spans="2:59" x14ac:dyDescent="0.25">
      <c r="C86" s="14" t="s">
        <v>153</v>
      </c>
      <c r="D86" s="16"/>
      <c r="E86" s="27">
        <f ca="1">IF((OFFSET($A$1, 74 - 1, 4 - 1) + OFFSET($A$1, 74 - 1, 5 - 1)) = 0,"Undefined",OFFSET($A$1, 74 - 1, 5 - 1)/(OFFSET($A$1, 74 - 1, 4 - 1) + OFFSET($A$1, 74 - 1, 5 - 1)))</f>
        <v>1</v>
      </c>
      <c r="AY86" s="7">
        <v>0.17601433243372858</v>
      </c>
      <c r="AZ86" s="7" t="str">
        <f>"0"</f>
        <v>0</v>
      </c>
      <c r="BA86" t="str">
        <f ca="1">IF((OFFSET($A$1, 86 - 1, 51 - 1)) &gt;= (OFFSET($A$1, 68 - 1, 7 - 1)), "1","0")</f>
        <v>0</v>
      </c>
      <c r="BB86">
        <f ca="1" xml:space="preserve"> IF( AND( OFFSET($A$1, 86 - 1, 52 - 1) = "1", OFFSET($A$1, 86 - 1, 53 - 1) = "1" ), 1, IF( AND( OFFSET($A$1, 86 - 1, 52 - 1) = "1", OFFSET($A$1, 86 - 1, 53 - 1) = "0" ), 2, IF( AND( OFFSET($A$1, 86 - 1, 52 - 1) = "0", OFFSET($A$1, 86 - 1, 53 - 1) = "1" ), 3, 4 ) ) )</f>
        <v>4</v>
      </c>
      <c r="BD86" s="7">
        <v>0.19613797039107672</v>
      </c>
      <c r="BE86" s="7" t="str">
        <f>"1"</f>
        <v>1</v>
      </c>
      <c r="BF86" t="str">
        <f ca="1">IF((OFFSET($A$1, 86 - 1, 56 - 1)) &gt;= (OFFSET($A$1, 92 - 1, 7 - 1)), "1","0")</f>
        <v>0</v>
      </c>
      <c r="BG86">
        <f ca="1" xml:space="preserve"> IF( AND( OFFSET($A$1, 86 - 1, 57 - 1) = "1", OFFSET($A$1, 86 - 1, 58 - 1) = "1" ), 1, IF( AND( OFFSET($A$1, 86 - 1, 57 - 1) = "1", OFFSET($A$1, 86 - 1, 58 - 1) = "0" ), 2, IF( AND( OFFSET($A$1, 86 - 1, 57 - 1) = "0", OFFSET($A$1, 86 - 1, 58 - 1) = "1" ), 3, 4 ) ) )</f>
        <v>2</v>
      </c>
    </row>
    <row r="87" spans="2:59" x14ac:dyDescent="0.25">
      <c r="C87" s="14" t="s">
        <v>154</v>
      </c>
      <c r="D87" s="16"/>
      <c r="E87" s="27" t="str">
        <f ca="1">IF(OR(OFFSET($A$1, 84 - 1, 5 - 1)="Undefined",OFFSET($A$1, 85 - 1, 5 - 1)="Undefined"),"Undefined",IF((OFFSET($A$1, 84 - 1, 5 - 1) + OFFSET($A$1, 85 - 1, 5 - 1))=0,"Undefined",2*OFFSET($A$1, 84 - 1, 5 - 1)*OFFSET($A$1, 85 - 1, 5 - 1)/(OFFSET($A$1, 84 - 1, 5 - 1)+OFFSET($A$1, 85 - 1, 5 - 1))))</f>
        <v>Undefined</v>
      </c>
      <c r="AY87" s="7">
        <v>0.24967874791753278</v>
      </c>
      <c r="AZ87" s="7" t="str">
        <f>"0"</f>
        <v>0</v>
      </c>
      <c r="BA87" t="str">
        <f ca="1">IF((OFFSET($A$1, 87 - 1, 51 - 1)) &gt;= (OFFSET($A$1, 68 - 1, 7 - 1)), "1","0")</f>
        <v>0</v>
      </c>
      <c r="BB87">
        <f ca="1" xml:space="preserve"> IF( AND( OFFSET($A$1, 87 - 1, 52 - 1) = "1", OFFSET($A$1, 87 - 1, 53 - 1) = "1" ), 1, IF( AND( OFFSET($A$1, 87 - 1, 52 - 1) = "1", OFFSET($A$1, 87 - 1, 53 - 1) = "0" ), 2, IF( AND( OFFSET($A$1, 87 - 1, 52 - 1) = "0", OFFSET($A$1, 87 - 1, 53 - 1) = "1" ), 3, 4 ) ) )</f>
        <v>4</v>
      </c>
      <c r="BD87" s="7">
        <v>0.21049287747773748</v>
      </c>
      <c r="BE87" s="7" t="str">
        <f>"0"</f>
        <v>0</v>
      </c>
      <c r="BF87" t="str">
        <f ca="1">IF((OFFSET($A$1, 87 - 1, 56 - 1)) &gt;= (OFFSET($A$1, 92 - 1, 7 - 1)), "1","0")</f>
        <v>0</v>
      </c>
      <c r="BG87">
        <f ca="1" xml:space="preserve"> IF( AND( OFFSET($A$1, 87 - 1, 57 - 1) = "1", OFFSET($A$1, 87 - 1, 58 - 1) = "1" ), 1, IF( AND( OFFSET($A$1, 87 - 1, 57 - 1) = "1", OFFSET($A$1, 87 - 1, 58 - 1) = "0" ), 2, IF( AND( OFFSET($A$1, 87 - 1, 57 - 1) = "0", OFFSET($A$1, 87 - 1, 58 - 1) = "1" ), 3, 4 ) ) )</f>
        <v>4</v>
      </c>
    </row>
    <row r="88" spans="2:59" x14ac:dyDescent="0.25">
      <c r="AY88" s="7">
        <v>0.28952489717186036</v>
      </c>
      <c r="AZ88" s="7" t="str">
        <f>"0"</f>
        <v>0</v>
      </c>
      <c r="BA88" t="str">
        <f ca="1">IF((OFFSET($A$1, 88 - 1, 51 - 1)) &gt;= (OFFSET($A$1, 68 - 1, 7 - 1)), "1","0")</f>
        <v>0</v>
      </c>
      <c r="BB88">
        <f ca="1" xml:space="preserve"> IF( AND( OFFSET($A$1, 88 - 1, 52 - 1) = "1", OFFSET($A$1, 88 - 1, 53 - 1) = "1" ), 1, IF( AND( OFFSET($A$1, 88 - 1, 52 - 1) = "1", OFFSET($A$1, 88 - 1, 53 - 1) = "0" ), 2, IF( AND( OFFSET($A$1, 88 - 1, 52 - 1) = "0", OFFSET($A$1, 88 - 1, 53 - 1) = "1" ), 3, 4 ) ) )</f>
        <v>4</v>
      </c>
      <c r="BD88" s="7">
        <v>0.1951414900904731</v>
      </c>
      <c r="BE88" s="7" t="str">
        <f>"0"</f>
        <v>0</v>
      </c>
      <c r="BF88" t="str">
        <f ca="1">IF((OFFSET($A$1, 88 - 1, 56 - 1)) &gt;= (OFFSET($A$1, 92 - 1, 7 - 1)), "1","0")</f>
        <v>0</v>
      </c>
      <c r="BG88">
        <f ca="1" xml:space="preserve"> IF( AND( OFFSET($A$1, 88 - 1, 57 - 1) = "1", OFFSET($A$1, 88 - 1, 58 - 1) = "1" ), 1, IF( AND( OFFSET($A$1, 88 - 1, 57 - 1) = "1", OFFSET($A$1, 88 - 1, 58 - 1) = "0" ), 2, IF( AND( OFFSET($A$1, 88 - 1, 57 - 1) = "0", OFFSET($A$1, 88 - 1, 58 - 1) = "1" ), 3, 4 ) ) )</f>
        <v>4</v>
      </c>
    </row>
    <row r="89" spans="2:59" x14ac:dyDescent="0.25">
      <c r="AY89" s="7">
        <v>0.1844330536932097</v>
      </c>
      <c r="AZ89" s="7" t="str">
        <f>"1"</f>
        <v>1</v>
      </c>
      <c r="BA89" t="str">
        <f ca="1">IF((OFFSET($A$1, 89 - 1, 51 - 1)) &gt;= (OFFSET($A$1, 68 - 1, 7 - 1)), "1","0")</f>
        <v>0</v>
      </c>
      <c r="BB89">
        <f ca="1" xml:space="preserve"> IF( AND( OFFSET($A$1, 89 - 1, 52 - 1) = "1", OFFSET($A$1, 89 - 1, 53 - 1) = "1" ), 1, IF( AND( OFFSET($A$1, 89 - 1, 52 - 1) = "1", OFFSET($A$1, 89 - 1, 53 - 1) = "0" ), 2, IF( AND( OFFSET($A$1, 89 - 1, 52 - 1) = "0", OFFSET($A$1, 89 - 1, 53 - 1) = "1" ), 3, 4 ) ) )</f>
        <v>2</v>
      </c>
      <c r="BD89" s="7">
        <v>0.16613884353893371</v>
      </c>
      <c r="BE89" s="7" t="str">
        <f>"1"</f>
        <v>1</v>
      </c>
      <c r="BF89" t="str">
        <f ca="1">IF((OFFSET($A$1, 89 - 1, 56 - 1)) &gt;= (OFFSET($A$1, 92 - 1, 7 - 1)), "1","0")</f>
        <v>0</v>
      </c>
      <c r="BG89">
        <f ca="1" xml:space="preserve"> IF( AND( OFFSET($A$1, 89 - 1, 57 - 1) = "1", OFFSET($A$1, 89 - 1, 58 - 1) = "1" ), 1, IF( AND( OFFSET($A$1, 89 - 1, 57 - 1) = "1", OFFSET($A$1, 89 - 1, 58 - 1) = "0" ), 2, IF( AND( OFFSET($A$1, 89 - 1, 57 - 1) = "0", OFFSET($A$1, 89 - 1, 58 - 1) = "1" ), 3, 4 ) ) )</f>
        <v>2</v>
      </c>
    </row>
    <row r="90" spans="2:59" ht="18.75" x14ac:dyDescent="0.3">
      <c r="B90" s="26" t="s">
        <v>155</v>
      </c>
      <c r="AY90" s="7">
        <v>0.11532077878132954</v>
      </c>
      <c r="AZ90" s="7" t="str">
        <f>"0"</f>
        <v>0</v>
      </c>
      <c r="BA90" t="str">
        <f ca="1">IF((OFFSET($A$1, 90 - 1, 51 - 1)) &gt;= (OFFSET($A$1, 68 - 1, 7 - 1)), "1","0")</f>
        <v>0</v>
      </c>
      <c r="BB90">
        <f ca="1" xml:space="preserve"> IF( AND( OFFSET($A$1, 90 - 1, 52 - 1) = "1", OFFSET($A$1, 90 - 1, 53 - 1) = "1" ), 1, IF( AND( OFFSET($A$1, 90 - 1, 52 - 1) = "1", OFFSET($A$1, 90 - 1, 53 - 1) = "0" ), 2, IF( AND( OFFSET($A$1, 90 - 1, 52 - 1) = "0", OFFSET($A$1, 90 - 1, 53 - 1) = "1" ), 3, 4 ) ) )</f>
        <v>4</v>
      </c>
      <c r="BD90" s="7">
        <v>0.10360261217071784</v>
      </c>
      <c r="BE90" s="7" t="str">
        <f>"0"</f>
        <v>0</v>
      </c>
      <c r="BF90" t="str">
        <f ca="1">IF((OFFSET($A$1, 90 - 1, 56 - 1)) &gt;= (OFFSET($A$1, 92 - 1, 7 - 1)), "1","0")</f>
        <v>0</v>
      </c>
      <c r="BG90">
        <f ca="1" xml:space="preserve"> IF( AND( OFFSET($A$1, 90 - 1, 57 - 1) = "1", OFFSET($A$1, 90 - 1, 58 - 1) = "1" ), 1, IF( AND( OFFSET($A$1, 90 - 1, 57 - 1) = "1", OFFSET($A$1, 90 - 1, 58 - 1) = "0" ), 2, IF( AND( OFFSET($A$1, 90 - 1, 57 - 1) = "0", OFFSET($A$1, 90 - 1, 58 - 1) = "1" ), 3, 4 ) ) )</f>
        <v>4</v>
      </c>
    </row>
    <row r="91" spans="2:59" x14ac:dyDescent="0.25">
      <c r="AY91" s="7">
        <v>0.21049287747773748</v>
      </c>
      <c r="AZ91" s="7" t="str">
        <f>"0"</f>
        <v>0</v>
      </c>
      <c r="BA91" t="str">
        <f ca="1">IF((OFFSET($A$1, 91 - 1, 51 - 1)) &gt;= (OFFSET($A$1, 68 - 1, 7 - 1)), "1","0")</f>
        <v>0</v>
      </c>
      <c r="BB91">
        <f ca="1" xml:space="preserve"> IF( AND( OFFSET($A$1, 91 - 1, 52 - 1) = "1", OFFSET($A$1, 91 - 1, 53 - 1) = "1" ), 1, IF( AND( OFFSET($A$1, 91 - 1, 52 - 1) = "1", OFFSET($A$1, 91 - 1, 53 - 1) = "0" ), 2, IF( AND( OFFSET($A$1, 91 - 1, 52 - 1) = "0", OFFSET($A$1, 91 - 1, 53 - 1) = "1" ), 3, 4 ) ) )</f>
        <v>4</v>
      </c>
      <c r="BD91" s="7">
        <v>0.11596838788807017</v>
      </c>
      <c r="BE91" s="7" t="str">
        <f>"0"</f>
        <v>0</v>
      </c>
      <c r="BF91" t="str">
        <f ca="1">IF((OFFSET($A$1, 91 - 1, 56 - 1)) &gt;= (OFFSET($A$1, 92 - 1, 7 - 1)), "1","0")</f>
        <v>0</v>
      </c>
      <c r="BG91">
        <f ca="1" xml:space="preserve"> IF( AND( OFFSET($A$1, 91 - 1, 57 - 1) = "1", OFFSET($A$1, 91 - 1, 58 - 1) = "1" ), 1, IF( AND( OFFSET($A$1, 91 - 1, 57 - 1) = "1", OFFSET($A$1, 91 - 1, 58 - 1) = "0" ), 2, IF( AND( OFFSET($A$1, 91 - 1, 57 - 1) = "0", OFFSET($A$1, 91 - 1, 58 - 1) = "1" ), 3, 4 ) ) )</f>
        <v>4</v>
      </c>
    </row>
    <row r="92" spans="2:59" x14ac:dyDescent="0.25">
      <c r="C92" s="41" t="s">
        <v>139</v>
      </c>
      <c r="D92" s="42"/>
      <c r="E92" s="42"/>
      <c r="F92" s="43"/>
      <c r="G92" s="31">
        <v>0.5</v>
      </c>
      <c r="H92" s="41" t="s">
        <v>140</v>
      </c>
      <c r="I92" s="42"/>
      <c r="J92" s="42"/>
      <c r="K92" s="42"/>
      <c r="L92" s="42"/>
      <c r="M92" s="43"/>
      <c r="AY92" s="7">
        <v>0.22120913286454225</v>
      </c>
      <c r="AZ92" s="7" t="str">
        <f>"0"</f>
        <v>0</v>
      </c>
      <c r="BA92" t="str">
        <f ca="1">IF((OFFSET($A$1, 92 - 1, 51 - 1)) &gt;= (OFFSET($A$1, 68 - 1, 7 - 1)), "1","0")</f>
        <v>0</v>
      </c>
      <c r="BB92">
        <f ca="1" xml:space="preserve"> IF( AND( OFFSET($A$1, 92 - 1, 52 - 1) = "1", OFFSET($A$1, 92 - 1, 53 - 1) = "1" ), 1, IF( AND( OFFSET($A$1, 92 - 1, 52 - 1) = "1", OFFSET($A$1, 92 - 1, 53 - 1) = "0" ), 2, IF( AND( OFFSET($A$1, 92 - 1, 52 - 1) = "0", OFFSET($A$1, 92 - 1, 53 - 1) = "1" ), 3, 4 ) ) )</f>
        <v>4</v>
      </c>
      <c r="BD92" s="7">
        <v>0.22560353707599728</v>
      </c>
      <c r="BE92" s="7" t="str">
        <f>"0"</f>
        <v>0</v>
      </c>
      <c r="BF92" t="str">
        <f ca="1">IF((OFFSET($A$1, 92 - 1, 56 - 1)) &gt;= (OFFSET($A$1, 92 - 1, 7 - 1)), "1","0")</f>
        <v>0</v>
      </c>
      <c r="BG92">
        <f ca="1" xml:space="preserve"> IF( AND( OFFSET($A$1, 92 - 1, 57 - 1) = "1", OFFSET($A$1, 92 - 1, 58 - 1) = "1" ), 1, IF( AND( OFFSET($A$1, 92 - 1, 57 - 1) = "1", OFFSET($A$1, 92 - 1, 58 - 1) = "0" ), 2, IF( AND( OFFSET($A$1, 92 - 1, 57 - 1) = "0", OFFSET($A$1, 92 - 1, 58 - 1) = "1" ), 3, 4 ) ) )</f>
        <v>4</v>
      </c>
    </row>
    <row r="93" spans="2:59" x14ac:dyDescent="0.25">
      <c r="AY93" s="7">
        <v>0.20839591789254663</v>
      </c>
      <c r="AZ93" s="7" t="str">
        <f>"0"</f>
        <v>0</v>
      </c>
      <c r="BA93" t="str">
        <f ca="1">IF((OFFSET($A$1, 93 - 1, 51 - 1)) &gt;= (OFFSET($A$1, 68 - 1, 7 - 1)), "1","0")</f>
        <v>0</v>
      </c>
      <c r="BB93">
        <f ca="1" xml:space="preserve"> IF( AND( OFFSET($A$1, 93 - 1, 52 - 1) = "1", OFFSET($A$1, 93 - 1, 53 - 1) = "1" ), 1, IF( AND( OFFSET($A$1, 93 - 1, 52 - 1) = "1", OFFSET($A$1, 93 - 1, 53 - 1) = "0" ), 2, IF( AND( OFFSET($A$1, 93 - 1, 52 - 1) = "0", OFFSET($A$1, 93 - 1, 53 - 1) = "1" ), 3, 4 ) ) )</f>
        <v>4</v>
      </c>
      <c r="BD93" s="7">
        <v>0.24146718041552676</v>
      </c>
      <c r="BE93" s="7" t="str">
        <f>"0"</f>
        <v>0</v>
      </c>
      <c r="BF93" t="str">
        <f ca="1">IF((OFFSET($A$1, 93 - 1, 56 - 1)) &gt;= (OFFSET($A$1, 92 - 1, 7 - 1)), "1","0")</f>
        <v>0</v>
      </c>
      <c r="BG93">
        <f ca="1" xml:space="preserve"> IF( AND( OFFSET($A$1, 93 - 1, 57 - 1) = "1", OFFSET($A$1, 93 - 1, 58 - 1) = "1" ), 1, IF( AND( OFFSET($A$1, 93 - 1, 57 - 1) = "1", OFFSET($A$1, 93 - 1, 58 - 1) = "0" ), 2, IF( AND( OFFSET($A$1, 93 - 1, 57 - 1) = "0", OFFSET($A$1, 93 - 1, 58 - 1) = "1" ), 3, 4 ) ) )</f>
        <v>4</v>
      </c>
    </row>
    <row r="94" spans="2:59" x14ac:dyDescent="0.25">
      <c r="C94" s="11" t="s">
        <v>141</v>
      </c>
      <c r="D94" s="12"/>
      <c r="E94" s="13"/>
      <c r="AY94" s="7">
        <v>0.20322101952373944</v>
      </c>
      <c r="AZ94" s="7" t="str">
        <f>"1"</f>
        <v>1</v>
      </c>
      <c r="BA94" t="str">
        <f ca="1">IF((OFFSET($A$1, 94 - 1, 51 - 1)) &gt;= (OFFSET($A$1, 68 - 1, 7 - 1)), "1","0")</f>
        <v>0</v>
      </c>
      <c r="BB94">
        <f ca="1" xml:space="preserve"> IF( AND( OFFSET($A$1, 94 - 1, 52 - 1) = "1", OFFSET($A$1, 94 - 1, 53 - 1) = "1" ), 1, IF( AND( OFFSET($A$1, 94 - 1, 52 - 1) = "1", OFFSET($A$1, 94 - 1, 53 - 1) = "0" ), 2, IF( AND( OFFSET($A$1, 94 - 1, 52 - 1) = "0", OFFSET($A$1, 94 - 1, 53 - 1) = "1" ), 3, 4 ) ) )</f>
        <v>2</v>
      </c>
      <c r="BD94" s="7">
        <v>0.28952489717186036</v>
      </c>
      <c r="BE94" s="7" t="str">
        <f>"0"</f>
        <v>0</v>
      </c>
      <c r="BF94" t="str">
        <f ca="1">IF((OFFSET($A$1, 94 - 1, 56 - 1)) &gt;= (OFFSET($A$1, 92 - 1, 7 - 1)), "1","0")</f>
        <v>0</v>
      </c>
      <c r="BG94">
        <f ca="1" xml:space="preserve"> IF( AND( OFFSET($A$1, 94 - 1, 57 - 1) = "1", OFFSET($A$1, 94 - 1, 58 - 1) = "1" ), 1, IF( AND( OFFSET($A$1, 94 - 1, 57 - 1) = "1", OFFSET($A$1, 94 - 1, 58 - 1) = "0" ), 2, IF( AND( OFFSET($A$1, 94 - 1, 57 - 1) = "0", OFFSET($A$1, 94 - 1, 58 - 1) = "1" ), 3, 4 ) ) )</f>
        <v>4</v>
      </c>
    </row>
    <row r="95" spans="2:59" x14ac:dyDescent="0.25">
      <c r="C95" s="10"/>
      <c r="D95" s="44" t="s">
        <v>142</v>
      </c>
      <c r="E95" s="45"/>
      <c r="AY95" s="7">
        <v>0.22671175430712215</v>
      </c>
      <c r="AZ95" s="7" t="str">
        <f>"0"</f>
        <v>0</v>
      </c>
      <c r="BA95" t="str">
        <f ca="1">IF((OFFSET($A$1, 95 - 1, 51 - 1)) &gt;= (OFFSET($A$1, 68 - 1, 7 - 1)), "1","0")</f>
        <v>0</v>
      </c>
      <c r="BB95">
        <f ca="1" xml:space="preserve"> IF( AND( OFFSET($A$1, 95 - 1, 52 - 1) = "1", OFFSET($A$1, 95 - 1, 53 - 1) = "1" ), 1, IF( AND( OFFSET($A$1, 95 - 1, 52 - 1) = "1", OFFSET($A$1, 95 - 1, 53 - 1) = "0" ), 2, IF( AND( OFFSET($A$1, 95 - 1, 52 - 1) = "0", OFFSET($A$1, 95 - 1, 53 - 1) = "1" ), 3, 4 ) ) )</f>
        <v>4</v>
      </c>
      <c r="BD95" s="7">
        <v>0.17418507262711561</v>
      </c>
      <c r="BE95" s="7" t="str">
        <f>"1"</f>
        <v>1</v>
      </c>
      <c r="BF95" t="str">
        <f ca="1">IF((OFFSET($A$1, 95 - 1, 56 - 1)) &gt;= (OFFSET($A$1, 92 - 1, 7 - 1)), "1","0")</f>
        <v>0</v>
      </c>
      <c r="BG95">
        <f ca="1" xml:space="preserve"> IF( AND( OFFSET($A$1, 95 - 1, 57 - 1) = "1", OFFSET($A$1, 95 - 1, 58 - 1) = "1" ), 1, IF( AND( OFFSET($A$1, 95 - 1, 57 - 1) = "1", OFFSET($A$1, 95 - 1, 58 - 1) = "0" ), 2, IF( AND( OFFSET($A$1, 95 - 1, 57 - 1) = "0", OFFSET($A$1, 95 - 1, 58 - 1) = "1" ), 3, 4 ) ) )</f>
        <v>2</v>
      </c>
    </row>
    <row r="96" spans="2:59" x14ac:dyDescent="0.25">
      <c r="C96" s="9" t="s">
        <v>143</v>
      </c>
      <c r="D96" s="10">
        <v>1</v>
      </c>
      <c r="E96" s="10">
        <v>0</v>
      </c>
      <c r="AY96" s="7">
        <v>0.17146935892830426</v>
      </c>
      <c r="AZ96" s="7" t="str">
        <f>"1"</f>
        <v>1</v>
      </c>
      <c r="BA96" t="str">
        <f ca="1">IF((OFFSET($A$1, 96 - 1, 51 - 1)) &gt;= (OFFSET($A$1, 68 - 1, 7 - 1)), "1","0")</f>
        <v>0</v>
      </c>
      <c r="BB96">
        <f ca="1" xml:space="preserve"> IF( AND( OFFSET($A$1, 96 - 1, 52 - 1) = "1", OFFSET($A$1, 96 - 1, 53 - 1) = "1" ), 1, IF( AND( OFFSET($A$1, 96 - 1, 52 - 1) = "1", OFFSET($A$1, 96 - 1, 53 - 1) = "0" ), 2, IF( AND( OFFSET($A$1, 96 - 1, 52 - 1) = "0", OFFSET($A$1, 96 - 1, 53 - 1) = "1" ), 3, 4 ) ) )</f>
        <v>2</v>
      </c>
      <c r="BD96" s="7">
        <v>0.16439174042633076</v>
      </c>
      <c r="BE96" s="7" t="str">
        <f>"0"</f>
        <v>0</v>
      </c>
      <c r="BF96" t="str">
        <f ca="1">IF((OFFSET($A$1, 96 - 1, 56 - 1)) &gt;= (OFFSET($A$1, 92 - 1, 7 - 1)), "1","0")</f>
        <v>0</v>
      </c>
      <c r="BG96">
        <f ca="1" xml:space="preserve"> IF( AND( OFFSET($A$1, 96 - 1, 57 - 1) = "1", OFFSET($A$1, 96 - 1, 58 - 1) = "1" ), 1, IF( AND( OFFSET($A$1, 96 - 1, 57 - 1) = "1", OFFSET($A$1, 96 - 1, 58 - 1) = "0" ), 2, IF( AND( OFFSET($A$1, 96 - 1, 57 - 1) = "0", OFFSET($A$1, 96 - 1, 58 - 1) = "1" ), 3, 4 ) ) )</f>
        <v>4</v>
      </c>
    </row>
    <row r="97" spans="3:59" x14ac:dyDescent="0.25">
      <c r="C97" s="9">
        <v>1</v>
      </c>
      <c r="D97" s="7">
        <f ca="1" xml:space="preserve"> COUNTIF( OFFSET($A$1, 1 - 1, 59 - 1, 201, 1), 1 )</f>
        <v>0</v>
      </c>
      <c r="E97" s="7">
        <f ca="1" xml:space="preserve"> COUNTIF( OFFSET($A$1, 1 - 1, 59 - 1, 201, 1), 2 )</f>
        <v>39</v>
      </c>
      <c r="AY97" s="7">
        <v>0.20016233311628359</v>
      </c>
      <c r="AZ97" s="7" t="str">
        <f>"0"</f>
        <v>0</v>
      </c>
      <c r="BA97" t="str">
        <f ca="1">IF((OFFSET($A$1, 97 - 1, 51 - 1)) &gt;= (OFFSET($A$1, 68 - 1, 7 - 1)), "1","0")</f>
        <v>0</v>
      </c>
      <c r="BB97">
        <f ca="1" xml:space="preserve"> IF( AND( OFFSET($A$1, 97 - 1, 52 - 1) = "1", OFFSET($A$1, 97 - 1, 53 - 1) = "1" ), 1, IF( AND( OFFSET($A$1, 97 - 1, 52 - 1) = "1", OFFSET($A$1, 97 - 1, 53 - 1) = "0" ), 2, IF( AND( OFFSET($A$1, 97 - 1, 52 - 1) = "0", OFFSET($A$1, 97 - 1, 53 - 1) = "1" ), 3, 4 ) ) )</f>
        <v>4</v>
      </c>
      <c r="BD97" s="7">
        <v>0.16526344036180959</v>
      </c>
      <c r="BE97" s="7" t="str">
        <f>"0"</f>
        <v>0</v>
      </c>
      <c r="BF97" t="str">
        <f ca="1">IF((OFFSET($A$1, 97 - 1, 56 - 1)) &gt;= (OFFSET($A$1, 92 - 1, 7 - 1)), "1","0")</f>
        <v>0</v>
      </c>
      <c r="BG97">
        <f ca="1" xml:space="preserve"> IF( AND( OFFSET($A$1, 97 - 1, 57 - 1) = "1", OFFSET($A$1, 97 - 1, 58 - 1) = "1" ), 1, IF( AND( OFFSET($A$1, 97 - 1, 57 - 1) = "1", OFFSET($A$1, 97 - 1, 58 - 1) = "0" ), 2, IF( AND( OFFSET($A$1, 97 - 1, 57 - 1) = "0", OFFSET($A$1, 97 - 1, 58 - 1) = "1" ), 3, 4 ) ) )</f>
        <v>4</v>
      </c>
    </row>
    <row r="98" spans="3:59" x14ac:dyDescent="0.25">
      <c r="C98" s="9">
        <v>0</v>
      </c>
      <c r="D98" s="7">
        <f ca="1" xml:space="preserve"> COUNTIF( OFFSET($A$1, 1 - 1, 59 - 1, 201, 1), 3 )</f>
        <v>0</v>
      </c>
      <c r="E98" s="7">
        <f ca="1" xml:space="preserve"> COUNTIF( OFFSET($A$1, 1 - 1, 59 - 1, 201, 1), 4 )</f>
        <v>161</v>
      </c>
      <c r="AY98" s="7">
        <v>0.15839300868263137</v>
      </c>
      <c r="AZ98" s="7" t="str">
        <f>"0"</f>
        <v>0</v>
      </c>
      <c r="BA98" t="str">
        <f ca="1">IF((OFFSET($A$1, 98 - 1, 51 - 1)) &gt;= (OFFSET($A$1, 68 - 1, 7 - 1)), "1","0")</f>
        <v>0</v>
      </c>
      <c r="BB98">
        <f ca="1" xml:space="preserve"> IF( AND( OFFSET($A$1, 98 - 1, 52 - 1) = "1", OFFSET($A$1, 98 - 1, 53 - 1) = "1" ), 1, IF( AND( OFFSET($A$1, 98 - 1, 52 - 1) = "1", OFFSET($A$1, 98 - 1, 53 - 1) = "0" ), 2, IF( AND( OFFSET($A$1, 98 - 1, 52 - 1) = "0", OFFSET($A$1, 98 - 1, 53 - 1) = "1" ), 3, 4 ) ) )</f>
        <v>4</v>
      </c>
      <c r="BD98" s="7">
        <v>0.26050689602994787</v>
      </c>
      <c r="BE98" s="7" t="str">
        <f>"1"</f>
        <v>1</v>
      </c>
      <c r="BF98" t="str">
        <f ca="1">IF((OFFSET($A$1, 98 - 1, 56 - 1)) &gt;= (OFFSET($A$1, 92 - 1, 7 - 1)), "1","0")</f>
        <v>0</v>
      </c>
      <c r="BG98">
        <f ca="1" xml:space="preserve"> IF( AND( OFFSET($A$1, 98 - 1, 57 - 1) = "1", OFFSET($A$1, 98 - 1, 58 - 1) = "1" ), 1, IF( AND( OFFSET($A$1, 98 - 1, 57 - 1) = "1", OFFSET($A$1, 98 - 1, 58 - 1) = "0" ), 2, IF( AND( OFFSET($A$1, 98 - 1, 57 - 1) = "0", OFFSET($A$1, 98 - 1, 58 - 1) = "1" ), 3, 4 ) ) )</f>
        <v>2</v>
      </c>
    </row>
    <row r="99" spans="3:59" x14ac:dyDescent="0.25">
      <c r="AY99" s="7">
        <v>0.16352373764916295</v>
      </c>
      <c r="AZ99" s="7" t="str">
        <f>"0"</f>
        <v>0</v>
      </c>
      <c r="BA99" t="str">
        <f ca="1">IF((OFFSET($A$1, 99 - 1, 51 - 1)) &gt;= (OFFSET($A$1, 68 - 1, 7 - 1)), "1","0")</f>
        <v>0</v>
      </c>
      <c r="BB99">
        <f ca="1" xml:space="preserve"> IF( AND( OFFSET($A$1, 99 - 1, 52 - 1) = "1", OFFSET($A$1, 99 - 1, 53 - 1) = "1" ), 1, IF( AND( OFFSET($A$1, 99 - 1, 52 - 1) = "1", OFFSET($A$1, 99 - 1, 53 - 1) = "0" ), 2, IF( AND( OFFSET($A$1, 99 - 1, 52 - 1) = "0", OFFSET($A$1, 99 - 1, 53 - 1) = "1" ), 3, 4 ) ) )</f>
        <v>4</v>
      </c>
      <c r="BD99" s="7">
        <v>0.14378341048428475</v>
      </c>
      <c r="BE99" s="7" t="str">
        <f>"0"</f>
        <v>0</v>
      </c>
      <c r="BF99" t="str">
        <f ca="1">IF((OFFSET($A$1, 99 - 1, 56 - 1)) &gt;= (OFFSET($A$1, 92 - 1, 7 - 1)), "1","0")</f>
        <v>0</v>
      </c>
      <c r="BG99">
        <f ca="1" xml:space="preserve"> IF( AND( OFFSET($A$1, 99 - 1, 57 - 1) = "1", OFFSET($A$1, 99 - 1, 58 - 1) = "1" ), 1, IF( AND( OFFSET($A$1, 99 - 1, 57 - 1) = "1", OFFSET($A$1, 99 - 1, 58 - 1) = "0" ), 2, IF( AND( OFFSET($A$1, 99 - 1, 57 - 1) = "0", OFFSET($A$1, 99 - 1, 58 - 1) = "1" ), 3, 4 ) ) )</f>
        <v>4</v>
      </c>
    </row>
    <row r="100" spans="3:59" x14ac:dyDescent="0.25">
      <c r="C100" s="11" t="s">
        <v>144</v>
      </c>
      <c r="D100" s="12"/>
      <c r="E100" s="12"/>
      <c r="F100" s="13"/>
      <c r="AY100" s="7">
        <v>0.24146718041552676</v>
      </c>
      <c r="AZ100" s="7" t="str">
        <f>"0"</f>
        <v>0</v>
      </c>
      <c r="BA100" t="str">
        <f ca="1">IF((OFFSET($A$1, 100 - 1, 51 - 1)) &gt;= (OFFSET($A$1, 68 - 1, 7 - 1)), "1","0")</f>
        <v>0</v>
      </c>
      <c r="BB100">
        <f ca="1" xml:space="preserve"> IF( AND( OFFSET($A$1, 100 - 1, 52 - 1) = "1", OFFSET($A$1, 100 - 1, 53 - 1) = "1" ), 1, IF( AND( OFFSET($A$1, 100 - 1, 52 - 1) = "1", OFFSET($A$1, 100 - 1, 53 - 1) = "0" ), 2, IF( AND( OFFSET($A$1, 100 - 1, 52 - 1) = "0", OFFSET($A$1, 100 - 1, 53 - 1) = "1" ), 3, 4 ) ) )</f>
        <v>4</v>
      </c>
      <c r="BD100" s="7">
        <v>0.20322101952373944</v>
      </c>
      <c r="BE100" s="7" t="str">
        <f>"0"</f>
        <v>0</v>
      </c>
      <c r="BF100" t="str">
        <f ca="1">IF((OFFSET($A$1, 100 - 1, 56 - 1)) &gt;= (OFFSET($A$1, 92 - 1, 7 - 1)), "1","0")</f>
        <v>0</v>
      </c>
      <c r="BG100">
        <f ca="1" xml:space="preserve"> IF( AND( OFFSET($A$1, 100 - 1, 57 - 1) = "1", OFFSET($A$1, 100 - 1, 58 - 1) = "1" ), 1, IF( AND( OFFSET($A$1, 100 - 1, 57 - 1) = "1", OFFSET($A$1, 100 - 1, 58 - 1) = "0" ), 2, IF( AND( OFFSET($A$1, 100 - 1, 57 - 1) = "0", OFFSET($A$1, 100 - 1, 58 - 1) = "1" ), 3, 4 ) ) )</f>
        <v>4</v>
      </c>
    </row>
    <row r="101" spans="3:59" x14ac:dyDescent="0.25">
      <c r="C101" s="10" t="s">
        <v>107</v>
      </c>
      <c r="D101" s="10" t="s">
        <v>145</v>
      </c>
      <c r="E101" s="10" t="s">
        <v>146</v>
      </c>
      <c r="F101" s="10" t="s">
        <v>147</v>
      </c>
      <c r="AY101" s="7">
        <v>0.1550456480560857</v>
      </c>
      <c r="AZ101" s="7" t="str">
        <f>"0"</f>
        <v>0</v>
      </c>
      <c r="BA101" t="str">
        <f ca="1">IF((OFFSET($A$1, 101 - 1, 51 - 1)) &gt;= (OFFSET($A$1, 68 - 1, 7 - 1)), "1","0")</f>
        <v>0</v>
      </c>
      <c r="BB101">
        <f ca="1" xml:space="preserve"> IF( AND( OFFSET($A$1, 101 - 1, 52 - 1) = "1", OFFSET($A$1, 101 - 1, 53 - 1) = "1" ), 1, IF( AND( OFFSET($A$1, 101 - 1, 52 - 1) = "1", OFFSET($A$1, 101 - 1, 53 - 1) = "0" ), 2, IF( AND( OFFSET($A$1, 101 - 1, 52 - 1) = "0", OFFSET($A$1, 101 - 1, 53 - 1) = "1" ), 3, 4 ) ) )</f>
        <v>4</v>
      </c>
      <c r="BD101" s="7">
        <v>0.1797181087064097</v>
      </c>
      <c r="BE101" s="7" t="str">
        <f>"0"</f>
        <v>0</v>
      </c>
      <c r="BF101" t="str">
        <f ca="1">IF((OFFSET($A$1, 101 - 1, 56 - 1)) &gt;= (OFFSET($A$1, 92 - 1, 7 - 1)), "1","0")</f>
        <v>0</v>
      </c>
      <c r="BG101">
        <f ca="1" xml:space="preserve"> IF( AND( OFFSET($A$1, 101 - 1, 57 - 1) = "1", OFFSET($A$1, 101 - 1, 58 - 1) = "1" ), 1, IF( AND( OFFSET($A$1, 101 - 1, 57 - 1) = "1", OFFSET($A$1, 101 - 1, 58 - 1) = "0" ), 2, IF( AND( OFFSET($A$1, 101 - 1, 57 - 1) = "0", OFFSET($A$1, 101 - 1, 58 - 1) = "1" ), 3, 4 ) ) )</f>
        <v>4</v>
      </c>
    </row>
    <row r="102" spans="3:59" x14ac:dyDescent="0.25">
      <c r="C102" s="9">
        <v>1</v>
      </c>
      <c r="D102" s="7">
        <f ca="1">SUM(OFFSET($A$1, 97 - 1, 4 - 1, 1, 2))</f>
        <v>39</v>
      </c>
      <c r="E102" s="7">
        <f ca="1">SUM(OFFSET($A$1, 97 - 1, 4 - 1, 1, 2)) - OFFSET($A$1, 97 - 1, 4 - 1)</f>
        <v>39</v>
      </c>
      <c r="F102" s="7">
        <f ca="1">IF(OFFSET($A$1, 102 - 1, 4 - 1)=0,"Undefined",((OFFSET($A$1, 102 - 1, 5 - 1))*100) / (OFFSET($A$1, 102 - 1, 4 - 1)))</f>
        <v>100</v>
      </c>
      <c r="AY102" s="7">
        <v>0.22230196043449052</v>
      </c>
      <c r="AZ102" s="7" t="str">
        <f>"1"</f>
        <v>1</v>
      </c>
      <c r="BA102" t="str">
        <f ca="1">IF((OFFSET($A$1, 102 - 1, 51 - 1)) &gt;= (OFFSET($A$1, 68 - 1, 7 - 1)), "1","0")</f>
        <v>0</v>
      </c>
      <c r="BB102">
        <f ca="1" xml:space="preserve"> IF( AND( OFFSET($A$1, 102 - 1, 52 - 1) = "1", OFFSET($A$1, 102 - 1, 53 - 1) = "1" ), 1, IF( AND( OFFSET($A$1, 102 - 1, 52 - 1) = "1", OFFSET($A$1, 102 - 1, 53 - 1) = "0" ), 2, IF( AND( OFFSET($A$1, 102 - 1, 52 - 1) = "0", OFFSET($A$1, 102 - 1, 53 - 1) = "1" ), 3, 4 ) ) )</f>
        <v>2</v>
      </c>
      <c r="BD102" s="7">
        <v>0.17509782079575215</v>
      </c>
      <c r="BE102" s="7" t="str">
        <f>"0"</f>
        <v>0</v>
      </c>
      <c r="BF102" t="str">
        <f ca="1">IF((OFFSET($A$1, 102 - 1, 56 - 1)) &gt;= (OFFSET($A$1, 92 - 1, 7 - 1)), "1","0")</f>
        <v>0</v>
      </c>
      <c r="BG102">
        <f ca="1" xml:space="preserve"> IF( AND( OFFSET($A$1, 102 - 1, 57 - 1) = "1", OFFSET($A$1, 102 - 1, 58 - 1) = "1" ), 1, IF( AND( OFFSET($A$1, 102 - 1, 57 - 1) = "1", OFFSET($A$1, 102 - 1, 58 - 1) = "0" ), 2, IF( AND( OFFSET($A$1, 102 - 1, 57 - 1) = "0", OFFSET($A$1, 102 - 1, 58 - 1) = "1" ), 3, 4 ) ) )</f>
        <v>4</v>
      </c>
    </row>
    <row r="103" spans="3:59" x14ac:dyDescent="0.25">
      <c r="C103" s="9">
        <v>0</v>
      </c>
      <c r="D103" s="7">
        <f ca="1">SUM(OFFSET($A$1, 98 - 1, 4 - 1, 1, 2))</f>
        <v>161</v>
      </c>
      <c r="E103" s="7">
        <f ca="1">SUM(OFFSET($A$1, 98 - 1, 4 - 1, 1, 2)) - OFFSET($A$1, 98 - 1, 5 - 1)</f>
        <v>0</v>
      </c>
      <c r="F103" s="7">
        <f ca="1">IF(OFFSET($A$1, 103 - 1, 4 - 1)=0,"Undefined",((OFFSET($A$1, 103 - 1, 5 - 1))*100) / (OFFSET($A$1, 103 - 1, 4 - 1)))</f>
        <v>0</v>
      </c>
      <c r="AY103" s="7">
        <v>0.12676626407826649</v>
      </c>
      <c r="AZ103" s="7" t="str">
        <f>"0"</f>
        <v>0</v>
      </c>
      <c r="BA103" t="str">
        <f ca="1">IF((OFFSET($A$1, 103 - 1, 51 - 1)) &gt;= (OFFSET($A$1, 68 - 1, 7 - 1)), "1","0")</f>
        <v>0</v>
      </c>
      <c r="BB103">
        <f ca="1" xml:space="preserve"> IF( AND( OFFSET($A$1, 103 - 1, 52 - 1) = "1", OFFSET($A$1, 103 - 1, 53 - 1) = "1" ), 1, IF( AND( OFFSET($A$1, 103 - 1, 52 - 1) = "1", OFFSET($A$1, 103 - 1, 53 - 1) = "0" ), 2, IF( AND( OFFSET($A$1, 103 - 1, 52 - 1) = "0", OFFSET($A$1, 103 - 1, 53 - 1) = "1" ), 3, 4 ) ) )</f>
        <v>4</v>
      </c>
      <c r="BD103" s="7">
        <v>0.2779439374646816</v>
      </c>
      <c r="BE103" s="7" t="str">
        <f>"0"</f>
        <v>0</v>
      </c>
      <c r="BF103" t="str">
        <f ca="1">IF((OFFSET($A$1, 103 - 1, 56 - 1)) &gt;= (OFFSET($A$1, 92 - 1, 7 - 1)), "1","0")</f>
        <v>0</v>
      </c>
      <c r="BG103">
        <f ca="1" xml:space="preserve"> IF( AND( OFFSET($A$1, 103 - 1, 57 - 1) = "1", OFFSET($A$1, 103 - 1, 58 - 1) = "1" ), 1, IF( AND( OFFSET($A$1, 103 - 1, 57 - 1) = "1", OFFSET($A$1, 103 - 1, 58 - 1) = "0" ), 2, IF( AND( OFFSET($A$1, 103 - 1, 57 - 1) = "0", OFFSET($A$1, 103 - 1, 58 - 1) = "1" ), 3, 4 ) ) )</f>
        <v>4</v>
      </c>
    </row>
    <row r="104" spans="3:59" x14ac:dyDescent="0.25">
      <c r="C104" s="9" t="s">
        <v>148</v>
      </c>
      <c r="D104" s="7">
        <f ca="1">SUM(OFFSET($A$1, 102 - 1, 4 - 1, 2, 1))</f>
        <v>200</v>
      </c>
      <c r="E104" s="7">
        <f ca="1">SUM(OFFSET($A$1, 102 - 1, 5 - 1, 2, 1))</f>
        <v>39</v>
      </c>
      <c r="F104" s="7">
        <f ca="1">IF(OFFSET($A$1, 104 - 1, 4 - 1)=0,"Undefined",((OFFSET($A$1, 104 - 1, 5 - 1))*100) / (OFFSET($A$1, 104 - 1, 4 - 1)))</f>
        <v>19.5</v>
      </c>
      <c r="AY104" s="7">
        <v>0.17601433243372858</v>
      </c>
      <c r="AZ104" s="7" t="str">
        <f>"0"</f>
        <v>0</v>
      </c>
      <c r="BA104" t="str">
        <f ca="1">IF((OFFSET($A$1, 104 - 1, 51 - 1)) &gt;= (OFFSET($A$1, 68 - 1, 7 - 1)), "1","0")</f>
        <v>0</v>
      </c>
      <c r="BB104">
        <f ca="1" xml:space="preserve"> IF( AND( OFFSET($A$1, 104 - 1, 52 - 1) = "1", OFFSET($A$1, 104 - 1, 53 - 1) = "1" ), 1, IF( AND( OFFSET($A$1, 104 - 1, 52 - 1) = "1", OFFSET($A$1, 104 - 1, 53 - 1) = "0" ), 2, IF( AND( OFFSET($A$1, 104 - 1, 52 - 1) = "0", OFFSET($A$1, 104 - 1, 53 - 1) = "1" ), 3, 4 ) ) )</f>
        <v>4</v>
      </c>
      <c r="BD104" s="7">
        <v>0.18827350327412662</v>
      </c>
      <c r="BE104" s="7" t="str">
        <f>"0"</f>
        <v>0</v>
      </c>
      <c r="BF104" t="str">
        <f ca="1">IF((OFFSET($A$1, 104 - 1, 56 - 1)) &gt;= (OFFSET($A$1, 92 - 1, 7 - 1)), "1","0")</f>
        <v>0</v>
      </c>
      <c r="BG104">
        <f ca="1" xml:space="preserve"> IF( AND( OFFSET($A$1, 104 - 1, 57 - 1) = "1", OFFSET($A$1, 104 - 1, 58 - 1) = "1" ), 1, IF( AND( OFFSET($A$1, 104 - 1, 57 - 1) = "1", OFFSET($A$1, 104 - 1, 58 - 1) = "0" ), 2, IF( AND( OFFSET($A$1, 104 - 1, 57 - 1) = "0", OFFSET($A$1, 104 - 1, 58 - 1) = "1" ), 3, 4 ) ) )</f>
        <v>4</v>
      </c>
    </row>
    <row r="105" spans="3:59" x14ac:dyDescent="0.25">
      <c r="AY105" s="7">
        <v>0.20117804359590838</v>
      </c>
      <c r="AZ105" s="7" t="str">
        <f>"1"</f>
        <v>1</v>
      </c>
      <c r="BA105" t="str">
        <f ca="1">IF((OFFSET($A$1, 105 - 1, 51 - 1)) &gt;= (OFFSET($A$1, 68 - 1, 7 - 1)), "1","0")</f>
        <v>0</v>
      </c>
      <c r="BB105">
        <f ca="1" xml:space="preserve"> IF( AND( OFFSET($A$1, 105 - 1, 52 - 1) = "1", OFFSET($A$1, 105 - 1, 53 - 1) = "1" ), 1, IF( AND( OFFSET($A$1, 105 - 1, 52 - 1) = "1", OFFSET($A$1, 105 - 1, 53 - 1) = "0" ), 2, IF( AND( OFFSET($A$1, 105 - 1, 52 - 1) = "0", OFFSET($A$1, 105 - 1, 53 - 1) = "1" ), 3, 4 ) ) )</f>
        <v>2</v>
      </c>
      <c r="BD105" s="7">
        <v>0.20631438947420566</v>
      </c>
      <c r="BE105" s="7" t="str">
        <f>"0"</f>
        <v>0</v>
      </c>
      <c r="BF105" t="str">
        <f ca="1">IF((OFFSET($A$1, 105 - 1, 56 - 1)) &gt;= (OFFSET($A$1, 92 - 1, 7 - 1)), "1","0")</f>
        <v>0</v>
      </c>
      <c r="BG105">
        <f ca="1" xml:space="preserve"> IF( AND( OFFSET($A$1, 105 - 1, 57 - 1) = "1", OFFSET($A$1, 105 - 1, 58 - 1) = "1" ), 1, IF( AND( OFFSET($A$1, 105 - 1, 57 - 1) = "1", OFFSET($A$1, 105 - 1, 58 - 1) = "0" ), 2, IF( AND( OFFSET($A$1, 105 - 1, 57 - 1) = "0", OFFSET($A$1, 105 - 1, 58 - 1) = "1" ), 3, 4 ) ) )</f>
        <v>4</v>
      </c>
    </row>
    <row r="106" spans="3:59" x14ac:dyDescent="0.25">
      <c r="C106" s="11" t="s">
        <v>149</v>
      </c>
      <c r="D106" s="12"/>
      <c r="E106" s="13"/>
      <c r="AY106" s="7">
        <v>0.19316004682073504</v>
      </c>
      <c r="AZ106" s="7" t="str">
        <f>"1"</f>
        <v>1</v>
      </c>
      <c r="BA106" t="str">
        <f ca="1">IF((OFFSET($A$1, 106 - 1, 51 - 1)) &gt;= (OFFSET($A$1, 68 - 1, 7 - 1)), "1","0")</f>
        <v>0</v>
      </c>
      <c r="BB106">
        <f ca="1" xml:space="preserve"> IF( AND( OFFSET($A$1, 106 - 1, 52 - 1) = "1", OFFSET($A$1, 106 - 1, 53 - 1) = "1" ), 1, IF( AND( OFFSET($A$1, 106 - 1, 52 - 1) = "1", OFFSET($A$1, 106 - 1, 53 - 1) = "0" ), 2, IF( AND( OFFSET($A$1, 106 - 1, 52 - 1) = "0", OFFSET($A$1, 106 - 1, 53 - 1) = "1" ), 3, 4 ) ) )</f>
        <v>2</v>
      </c>
      <c r="BD106" s="7">
        <v>0.20944246859479526</v>
      </c>
      <c r="BE106" s="7" t="str">
        <f>"0"</f>
        <v>0</v>
      </c>
      <c r="BF106" t="str">
        <f ca="1">IF((OFFSET($A$1, 106 - 1, 56 - 1)) &gt;= (OFFSET($A$1, 92 - 1, 7 - 1)), "1","0")</f>
        <v>0</v>
      </c>
      <c r="BG106">
        <f ca="1" xml:space="preserve"> IF( AND( OFFSET($A$1, 106 - 1, 57 - 1) = "1", OFFSET($A$1, 106 - 1, 58 - 1) = "1" ), 1, IF( AND( OFFSET($A$1, 106 - 1, 57 - 1) = "1", OFFSET($A$1, 106 - 1, 58 - 1) = "0" ), 2, IF( AND( OFFSET($A$1, 106 - 1, 57 - 1) = "0", OFFSET($A$1, 106 - 1, 58 - 1) = "1" ), 3, 4 ) ) )</f>
        <v>4</v>
      </c>
    </row>
    <row r="107" spans="3:59" x14ac:dyDescent="0.25">
      <c r="C107" s="14" t="s">
        <v>150</v>
      </c>
      <c r="D107" s="16"/>
      <c r="E107" s="27">
        <v>1</v>
      </c>
      <c r="AY107" s="7">
        <v>0.18730766843744823</v>
      </c>
      <c r="AZ107" s="7" t="str">
        <f>"1"</f>
        <v>1</v>
      </c>
      <c r="BA107" t="str">
        <f ca="1">IF((OFFSET($A$1, 107 - 1, 51 - 1)) &gt;= (OFFSET($A$1, 68 - 1, 7 - 1)), "1","0")</f>
        <v>0</v>
      </c>
      <c r="BB107">
        <f ca="1" xml:space="preserve"> IF( AND( OFFSET($A$1, 107 - 1, 52 - 1) = "1", OFFSET($A$1, 107 - 1, 53 - 1) = "1" ), 1, IF( AND( OFFSET($A$1, 107 - 1, 52 - 1) = "1", OFFSET($A$1, 107 - 1, 53 - 1) = "0" ), 2, IF( AND( OFFSET($A$1, 107 - 1, 52 - 1) = "0", OFFSET($A$1, 107 - 1, 53 - 1) = "1" ), 3, 4 ) ) )</f>
        <v>2</v>
      </c>
      <c r="BD107" s="7">
        <v>0.16094184999946912</v>
      </c>
      <c r="BE107" s="7" t="str">
        <f>"0"</f>
        <v>0</v>
      </c>
      <c r="BF107" t="str">
        <f ca="1">IF((OFFSET($A$1, 107 - 1, 56 - 1)) &gt;= (OFFSET($A$1, 92 - 1, 7 - 1)), "1","0")</f>
        <v>0</v>
      </c>
      <c r="BG107">
        <f ca="1" xml:space="preserve"> IF( AND( OFFSET($A$1, 107 - 1, 57 - 1) = "1", OFFSET($A$1, 107 - 1, 58 - 1) = "1" ), 1, IF( AND( OFFSET($A$1, 107 - 1, 57 - 1) = "1", OFFSET($A$1, 107 - 1, 58 - 1) = "0" ), 2, IF( AND( OFFSET($A$1, 107 - 1, 57 - 1) = "0", OFFSET($A$1, 107 - 1, 58 - 1) = "1" ), 3, 4 ) ) )</f>
        <v>4</v>
      </c>
    </row>
    <row r="108" spans="3:59" x14ac:dyDescent="0.25">
      <c r="C108" s="14" t="s">
        <v>151</v>
      </c>
      <c r="D108" s="16"/>
      <c r="E108" s="27" t="str">
        <f ca="1">IF((OFFSET($A$1, 97 - 1, 4 - 1) + OFFSET($A$1, 98 - 1, 4 - 1)) = 0,"Undefined",OFFSET($A$1, 97 - 1, 4 - 1)/(OFFSET($A$1, 97 - 1, 4 - 1) + OFFSET($A$1, 98 - 1, 4 - 1)))</f>
        <v>Undefined</v>
      </c>
      <c r="AY108" s="7">
        <v>0.18538744712211708</v>
      </c>
      <c r="AZ108" s="7" t="str">
        <f>"0"</f>
        <v>0</v>
      </c>
      <c r="BA108" t="str">
        <f ca="1">IF((OFFSET($A$1, 108 - 1, 51 - 1)) &gt;= (OFFSET($A$1, 68 - 1, 7 - 1)), "1","0")</f>
        <v>0</v>
      </c>
      <c r="BB108">
        <f ca="1" xml:space="preserve"> IF( AND( OFFSET($A$1, 108 - 1, 52 - 1) = "1", OFFSET($A$1, 108 - 1, 53 - 1) = "1" ), 1, IF( AND( OFFSET($A$1, 108 - 1, 52 - 1) = "1", OFFSET($A$1, 108 - 1, 53 - 1) = "0" ), 2, IF( AND( OFFSET($A$1, 108 - 1, 52 - 1) = "0", OFFSET($A$1, 108 - 1, 53 - 1) = "1" ), 3, 4 ) ) )</f>
        <v>4</v>
      </c>
      <c r="BD108" s="7">
        <v>0.19316004682073495</v>
      </c>
      <c r="BE108" s="7" t="str">
        <f>"0"</f>
        <v>0</v>
      </c>
      <c r="BF108" t="str">
        <f ca="1">IF((OFFSET($A$1, 108 - 1, 56 - 1)) &gt;= (OFFSET($A$1, 92 - 1, 7 - 1)), "1","0")</f>
        <v>0</v>
      </c>
      <c r="BG108">
        <f ca="1" xml:space="preserve"> IF( AND( OFFSET($A$1, 108 - 1, 57 - 1) = "1", OFFSET($A$1, 108 - 1, 58 - 1) = "1" ), 1, IF( AND( OFFSET($A$1, 108 - 1, 57 - 1) = "1", OFFSET($A$1, 108 - 1, 58 - 1) = "0" ), 2, IF( AND( OFFSET($A$1, 108 - 1, 57 - 1) = "0", OFFSET($A$1, 108 - 1, 58 - 1) = "1" ), 3, 4 ) ) )</f>
        <v>4</v>
      </c>
    </row>
    <row r="109" spans="3:59" x14ac:dyDescent="0.25">
      <c r="C109" s="14" t="s">
        <v>152</v>
      </c>
      <c r="D109" s="16"/>
      <c r="E109" s="27">
        <f ca="1">IF((OFFSET($A$1, 97 - 1, 4 - 1) + OFFSET($A$1, 97 - 1, 5 - 1)) = 0,"Undefined",OFFSET($A$1, 97 - 1, 4 - 1)/(OFFSET($A$1, 97 - 1, 4 - 1) + OFFSET($A$1, 97 - 1, 5 - 1)))</f>
        <v>0</v>
      </c>
      <c r="AY109" s="7">
        <v>0.16352373764916295</v>
      </c>
      <c r="AZ109" s="7" t="str">
        <f>"0"</f>
        <v>0</v>
      </c>
      <c r="BA109" t="str">
        <f ca="1">IF((OFFSET($A$1, 109 - 1, 51 - 1)) &gt;= (OFFSET($A$1, 68 - 1, 7 - 1)), "1","0")</f>
        <v>0</v>
      </c>
      <c r="BB109">
        <f ca="1" xml:space="preserve"> IF( AND( OFFSET($A$1, 109 - 1, 52 - 1) = "1", OFFSET($A$1, 109 - 1, 53 - 1) = "1" ), 1, IF( AND( OFFSET($A$1, 109 - 1, 52 - 1) = "1", OFFSET($A$1, 109 - 1, 53 - 1) = "0" ), 2, IF( AND( OFFSET($A$1, 109 - 1, 52 - 1) = "0", OFFSET($A$1, 109 - 1, 53 - 1) = "1" ), 3, 4 ) ) )</f>
        <v>4</v>
      </c>
      <c r="BD109" s="7">
        <v>0.23457671248419984</v>
      </c>
      <c r="BE109" s="7" t="str">
        <f>"0"</f>
        <v>0</v>
      </c>
      <c r="BF109" t="str">
        <f ca="1">IF((OFFSET($A$1, 109 - 1, 56 - 1)) &gt;= (OFFSET($A$1, 92 - 1, 7 - 1)), "1","0")</f>
        <v>0</v>
      </c>
      <c r="BG109">
        <f ca="1" xml:space="preserve"> IF( AND( OFFSET($A$1, 109 - 1, 57 - 1) = "1", OFFSET($A$1, 109 - 1, 58 - 1) = "1" ), 1, IF( AND( OFFSET($A$1, 109 - 1, 57 - 1) = "1", OFFSET($A$1, 109 - 1, 58 - 1) = "0" ), 2, IF( AND( OFFSET($A$1, 109 - 1, 57 - 1) = "0", OFFSET($A$1, 109 - 1, 58 - 1) = "1" ), 3, 4 ) ) )</f>
        <v>4</v>
      </c>
    </row>
    <row r="110" spans="3:59" x14ac:dyDescent="0.25">
      <c r="C110" s="14" t="s">
        <v>153</v>
      </c>
      <c r="D110" s="16"/>
      <c r="E110" s="27">
        <f ca="1">IF((OFFSET($A$1, 98 - 1, 4 - 1) + OFFSET($A$1, 98 - 1, 5 - 1)) = 0,"Undefined",OFFSET($A$1, 98 - 1, 5 - 1)/(OFFSET($A$1, 98 - 1, 4 - 1) + OFFSET($A$1, 98 - 1, 5 - 1)))</f>
        <v>1</v>
      </c>
      <c r="AY110" s="7">
        <v>0.14069318417849461</v>
      </c>
      <c r="AZ110" s="7" t="str">
        <f>"0"</f>
        <v>0</v>
      </c>
      <c r="BA110" t="str">
        <f ca="1">IF((OFFSET($A$1, 110 - 1, 51 - 1)) &gt;= (OFFSET($A$1, 68 - 1, 7 - 1)), "1","0")</f>
        <v>0</v>
      </c>
      <c r="BB110">
        <f ca="1" xml:space="preserve"> IF( AND( OFFSET($A$1, 110 - 1, 52 - 1) = "1", OFFSET($A$1, 110 - 1, 53 - 1) = "1" ), 1, IF( AND( OFFSET($A$1, 110 - 1, 52 - 1) = "1", OFFSET($A$1, 110 - 1, 53 - 1) = "0" ), 2, IF( AND( OFFSET($A$1, 110 - 1, 52 - 1) = "0", OFFSET($A$1, 110 - 1, 53 - 1) = "1" ), 3, 4 ) ) )</f>
        <v>4</v>
      </c>
      <c r="BD110" s="7">
        <v>0.24146718041552676</v>
      </c>
      <c r="BE110" s="7" t="str">
        <f>"0"</f>
        <v>0</v>
      </c>
      <c r="BF110" t="str">
        <f ca="1">IF((OFFSET($A$1, 110 - 1, 56 - 1)) &gt;= (OFFSET($A$1, 92 - 1, 7 - 1)), "1","0")</f>
        <v>0</v>
      </c>
      <c r="BG110">
        <f ca="1" xml:space="preserve"> IF( AND( OFFSET($A$1, 110 - 1, 57 - 1) = "1", OFFSET($A$1, 110 - 1, 58 - 1) = "1" ), 1, IF( AND( OFFSET($A$1, 110 - 1, 57 - 1) = "1", OFFSET($A$1, 110 - 1, 58 - 1) = "0" ), 2, IF( AND( OFFSET($A$1, 110 - 1, 57 - 1) = "0", OFFSET($A$1, 110 - 1, 58 - 1) = "1" ), 3, 4 ) ) )</f>
        <v>4</v>
      </c>
    </row>
    <row r="111" spans="3:59" x14ac:dyDescent="0.25">
      <c r="C111" s="14" t="s">
        <v>154</v>
      </c>
      <c r="D111" s="16"/>
      <c r="E111" s="27" t="str">
        <f ca="1">IF(OR(OFFSET($A$1, 108 - 1, 5 - 1)="Undefined",OFFSET($A$1, 109 - 1, 5 - 1)="Undefined"),"Undefined",IF((OFFSET($A$1, 108 - 1, 5 - 1) + OFFSET($A$1, 109 - 1, 5 - 1))=0,"Undefined",2*OFFSET($A$1, 108 - 1, 5 - 1)*OFFSET($A$1, 109 - 1, 5 - 1)/(OFFSET($A$1, 108 - 1, 5 - 1)+OFFSET($A$1, 109 - 1, 5 - 1))))</f>
        <v>Undefined</v>
      </c>
      <c r="AY111" s="7">
        <v>0.21473309647067179</v>
      </c>
      <c r="AZ111" s="7" t="str">
        <f>"0"</f>
        <v>0</v>
      </c>
      <c r="BA111" t="str">
        <f ca="1">IF((OFFSET($A$1, 111 - 1, 51 - 1)) &gt;= (OFFSET($A$1, 68 - 1, 7 - 1)), "1","0")</f>
        <v>0</v>
      </c>
      <c r="BB111">
        <f ca="1" xml:space="preserve"> IF( AND( OFFSET($A$1, 111 - 1, 52 - 1) = "1", OFFSET($A$1, 111 - 1, 53 - 1) = "1" ), 1, IF( AND( OFFSET($A$1, 111 - 1, 52 - 1) = "1", OFFSET($A$1, 111 - 1, 53 - 1) = "0" ), 2, IF( AND( OFFSET($A$1, 111 - 1, 52 - 1) = "0", OFFSET($A$1, 111 - 1, 53 - 1) = "1" ), 3, 4 ) ) )</f>
        <v>4</v>
      </c>
      <c r="BD111" s="7">
        <v>0.16613884353893368</v>
      </c>
      <c r="BE111" s="7" t="str">
        <f>"0"</f>
        <v>0</v>
      </c>
      <c r="BF111" t="str">
        <f ca="1">IF((OFFSET($A$1, 111 - 1, 56 - 1)) &gt;= (OFFSET($A$1, 92 - 1, 7 - 1)), "1","0")</f>
        <v>0</v>
      </c>
      <c r="BG111">
        <f ca="1" xml:space="preserve"> IF( AND( OFFSET($A$1, 111 - 1, 57 - 1) = "1", OFFSET($A$1, 111 - 1, 58 - 1) = "1" ), 1, IF( AND( OFFSET($A$1, 111 - 1, 57 - 1) = "1", OFFSET($A$1, 111 - 1, 58 - 1) = "0" ), 2, IF( AND( OFFSET($A$1, 111 - 1, 57 - 1) = "0", OFFSET($A$1, 111 - 1, 58 - 1) = "1" ), 3, 4 ) ) )</f>
        <v>4</v>
      </c>
    </row>
    <row r="112" spans="3:59" x14ac:dyDescent="0.25">
      <c r="AY112" s="7">
        <v>0.17693461237668723</v>
      </c>
      <c r="AZ112" s="7" t="str">
        <f>"0"</f>
        <v>0</v>
      </c>
      <c r="BA112" t="str">
        <f ca="1">IF((OFFSET($A$1, 112 - 1, 51 - 1)) &gt;= (OFFSET($A$1, 68 - 1, 7 - 1)), "1","0")</f>
        <v>0</v>
      </c>
      <c r="BB112">
        <f ca="1" xml:space="preserve"> IF( AND( OFFSET($A$1, 112 - 1, 52 - 1) = "1", OFFSET($A$1, 112 - 1, 53 - 1) = "1" ), 1, IF( AND( OFFSET($A$1, 112 - 1, 52 - 1) = "1", OFFSET($A$1, 112 - 1, 53 - 1) = "0" ), 2, IF( AND( OFFSET($A$1, 112 - 1, 52 - 1) = "0", OFFSET($A$1, 112 - 1, 53 - 1) = "1" ), 3, 4 ) ) )</f>
        <v>4</v>
      </c>
      <c r="BD112" s="7">
        <v>0.23118302117627954</v>
      </c>
      <c r="BE112" s="7" t="str">
        <f>"1"</f>
        <v>1</v>
      </c>
      <c r="BF112" t="str">
        <f ca="1">IF((OFFSET($A$1, 112 - 1, 56 - 1)) &gt;= (OFFSET($A$1, 92 - 1, 7 - 1)), "1","0")</f>
        <v>0</v>
      </c>
      <c r="BG112">
        <f ca="1" xml:space="preserve"> IF( AND( OFFSET($A$1, 112 - 1, 57 - 1) = "1", OFFSET($A$1, 112 - 1, 58 - 1) = "1" ), 1, IF( AND( OFFSET($A$1, 112 - 1, 57 - 1) = "1", OFFSET($A$1, 112 - 1, 58 - 1) = "0" ), 2, IF( AND( OFFSET($A$1, 112 - 1, 57 - 1) = "0", OFFSET($A$1, 112 - 1, 58 - 1) = "1" ), 3, 4 ) ) )</f>
        <v>2</v>
      </c>
    </row>
    <row r="113" spans="51:59" x14ac:dyDescent="0.25">
      <c r="AY113" s="7">
        <v>0.18827350327412662</v>
      </c>
      <c r="AZ113" s="7" t="str">
        <f>"1"</f>
        <v>1</v>
      </c>
      <c r="BA113" t="str">
        <f ca="1">IF((OFFSET($A$1, 113 - 1, 51 - 1)) &gt;= (OFFSET($A$1, 68 - 1, 7 - 1)), "1","0")</f>
        <v>0</v>
      </c>
      <c r="BB113">
        <f ca="1" xml:space="preserve"> IF( AND( OFFSET($A$1, 113 - 1, 52 - 1) = "1", OFFSET($A$1, 113 - 1, 53 - 1) = "1" ), 1, IF( AND( OFFSET($A$1, 113 - 1, 52 - 1) = "1", OFFSET($A$1, 113 - 1, 53 - 1) = "0" ), 2, IF( AND( OFFSET($A$1, 113 - 1, 52 - 1) = "0", OFFSET($A$1, 113 - 1, 53 - 1) = "1" ), 3, 4 ) ) )</f>
        <v>2</v>
      </c>
      <c r="BD113" s="7">
        <v>0.12467823812708556</v>
      </c>
      <c r="BE113" s="7" t="str">
        <f>"0"</f>
        <v>0</v>
      </c>
      <c r="BF113" t="str">
        <f ca="1">IF((OFFSET($A$1, 113 - 1, 56 - 1)) &gt;= (OFFSET($A$1, 92 - 1, 7 - 1)), "1","0")</f>
        <v>0</v>
      </c>
      <c r="BG113">
        <f ca="1" xml:space="preserve"> IF( AND( OFFSET($A$1, 113 - 1, 57 - 1) = "1", OFFSET($A$1, 113 - 1, 58 - 1) = "1" ), 1, IF( AND( OFFSET($A$1, 113 - 1, 57 - 1) = "1", OFFSET($A$1, 113 - 1, 58 - 1) = "0" ), 2, IF( AND( OFFSET($A$1, 113 - 1, 57 - 1) = "0", OFFSET($A$1, 113 - 1, 58 - 1) = "1" ), 3, 4 ) ) )</f>
        <v>4</v>
      </c>
    </row>
    <row r="114" spans="51:59" x14ac:dyDescent="0.25">
      <c r="AY114" s="7">
        <v>0.25205884028454301</v>
      </c>
      <c r="AZ114" s="7" t="str">
        <f>"0"</f>
        <v>0</v>
      </c>
      <c r="BA114" t="str">
        <f ca="1">IF((OFFSET($A$1, 114 - 1, 51 - 1)) &gt;= (OFFSET($A$1, 68 - 1, 7 - 1)), "1","0")</f>
        <v>0</v>
      </c>
      <c r="BB114">
        <f ca="1" xml:space="preserve"> IF( AND( OFFSET($A$1, 114 - 1, 52 - 1) = "1", OFFSET($A$1, 114 - 1, 53 - 1) = "1" ), 1, IF( AND( OFFSET($A$1, 114 - 1, 52 - 1) = "1", OFFSET($A$1, 114 - 1, 53 - 1) = "0" ), 2, IF( AND( OFFSET($A$1, 114 - 1, 52 - 1) = "0", OFFSET($A$1, 114 - 1, 53 - 1) = "1" ), 3, 4 ) ) )</f>
        <v>4</v>
      </c>
      <c r="BD114" s="7">
        <v>0.22560353707599728</v>
      </c>
      <c r="BE114" s="7" t="str">
        <f>"0"</f>
        <v>0</v>
      </c>
      <c r="BF114" t="str">
        <f ca="1">IF((OFFSET($A$1, 114 - 1, 56 - 1)) &gt;= (OFFSET($A$1, 92 - 1, 7 - 1)), "1","0")</f>
        <v>0</v>
      </c>
      <c r="BG114">
        <f ca="1" xml:space="preserve"> IF( AND( OFFSET($A$1, 114 - 1, 57 - 1) = "1", OFFSET($A$1, 114 - 1, 58 - 1) = "1" ), 1, IF( AND( OFFSET($A$1, 114 - 1, 57 - 1) = "1", OFFSET($A$1, 114 - 1, 58 - 1) = "0" ), 2, IF( AND( OFFSET($A$1, 114 - 1, 57 - 1) = "0", OFFSET($A$1, 114 - 1, 58 - 1) = "1" ), 3, 4 ) ) )</f>
        <v>4</v>
      </c>
    </row>
    <row r="115" spans="51:59" x14ac:dyDescent="0.25">
      <c r="AY115" s="7">
        <v>0.20839591789254663</v>
      </c>
      <c r="AZ115" s="7" t="str">
        <f>"1"</f>
        <v>1</v>
      </c>
      <c r="BA115" t="str">
        <f ca="1">IF((OFFSET($A$1, 115 - 1, 51 - 1)) &gt;= (OFFSET($A$1, 68 - 1, 7 - 1)), "1","0")</f>
        <v>0</v>
      </c>
      <c r="BB115">
        <f ca="1" xml:space="preserve"> IF( AND( OFFSET($A$1, 115 - 1, 52 - 1) = "1", OFFSET($A$1, 115 - 1, 53 - 1) = "1" ), 1, IF( AND( OFFSET($A$1, 115 - 1, 52 - 1) = "1", OFFSET($A$1, 115 - 1, 53 - 1) = "0" ), 2, IF( AND( OFFSET($A$1, 115 - 1, 52 - 1) = "0", OFFSET($A$1, 115 - 1, 53 - 1) = "1" ), 3, 4 ) ) )</f>
        <v>2</v>
      </c>
      <c r="BD115" s="7">
        <v>0.21366725442465345</v>
      </c>
      <c r="BE115" s="7" t="str">
        <f>"0"</f>
        <v>0</v>
      </c>
      <c r="BF115" t="str">
        <f ca="1">IF((OFFSET($A$1, 115 - 1, 56 - 1)) &gt;= (OFFSET($A$1, 92 - 1, 7 - 1)), "1","0")</f>
        <v>0</v>
      </c>
      <c r="BG115">
        <f ca="1" xml:space="preserve"> IF( AND( OFFSET($A$1, 115 - 1, 57 - 1) = "1", OFFSET($A$1, 115 - 1, 58 - 1) = "1" ), 1, IF( AND( OFFSET($A$1, 115 - 1, 57 - 1) = "1", OFFSET($A$1, 115 - 1, 58 - 1) = "0" ), 2, IF( AND( OFFSET($A$1, 115 - 1, 57 - 1) = "0", OFFSET($A$1, 115 - 1, 58 - 1) = "1" ), 3, 4 ) ) )</f>
        <v>4</v>
      </c>
    </row>
    <row r="116" spans="51:59" x14ac:dyDescent="0.25">
      <c r="AY116" s="7">
        <v>0.26050689602994787</v>
      </c>
      <c r="AZ116" s="7" t="str">
        <f>"0"</f>
        <v>0</v>
      </c>
      <c r="BA116" t="str">
        <f ca="1">IF((OFFSET($A$1, 116 - 1, 51 - 1)) &gt;= (OFFSET($A$1, 68 - 1, 7 - 1)), "1","0")</f>
        <v>0</v>
      </c>
      <c r="BB116">
        <f ca="1" xml:space="preserve"> IF( AND( OFFSET($A$1, 116 - 1, 52 - 1) = "1", OFFSET($A$1, 116 - 1, 53 - 1) = "1" ), 1, IF( AND( OFFSET($A$1, 116 - 1, 52 - 1) = "1", OFFSET($A$1, 116 - 1, 53 - 1) = "0" ), 2, IF( AND( OFFSET($A$1, 116 - 1, 52 - 1) = "0", OFFSET($A$1, 116 - 1, 53 - 1) = "1" ), 3, 4 ) ) )</f>
        <v>4</v>
      </c>
      <c r="BD116" s="7">
        <v>0.14613797832458675</v>
      </c>
      <c r="BE116" s="7" t="str">
        <f>"0"</f>
        <v>0</v>
      </c>
      <c r="BF116" t="str">
        <f ca="1">IF((OFFSET($A$1, 116 - 1, 56 - 1)) &gt;= (OFFSET($A$1, 92 - 1, 7 - 1)), "1","0")</f>
        <v>0</v>
      </c>
      <c r="BG116">
        <f ca="1" xml:space="preserve"> IF( AND( OFFSET($A$1, 116 - 1, 57 - 1) = "1", OFFSET($A$1, 116 - 1, 58 - 1) = "1" ), 1, IF( AND( OFFSET($A$1, 116 - 1, 57 - 1) = "1", OFFSET($A$1, 116 - 1, 58 - 1) = "0" ), 2, IF( AND( OFFSET($A$1, 116 - 1, 57 - 1) = "0", OFFSET($A$1, 116 - 1, 58 - 1) = "1" ), 3, 4 ) ) )</f>
        <v>4</v>
      </c>
    </row>
    <row r="117" spans="51:59" x14ac:dyDescent="0.25">
      <c r="AY117" s="7">
        <v>0.17146935892830426</v>
      </c>
      <c r="AZ117" s="7" t="str">
        <f>"0"</f>
        <v>0</v>
      </c>
      <c r="BA117" t="str">
        <f ca="1">IF((OFFSET($A$1, 117 - 1, 51 - 1)) &gt;= (OFFSET($A$1, 68 - 1, 7 - 1)), "1","0")</f>
        <v>0</v>
      </c>
      <c r="BB117">
        <f ca="1" xml:space="preserve"> IF( AND( OFFSET($A$1, 117 - 1, 52 - 1) = "1", OFFSET($A$1, 117 - 1, 53 - 1) = "1" ), 1, IF( AND( OFFSET($A$1, 117 - 1, 52 - 1) = "1", OFFSET($A$1, 117 - 1, 53 - 1) = "0" ), 2, IF( AND( OFFSET($A$1, 117 - 1, 52 - 1) = "0", OFFSET($A$1, 117 - 1, 53 - 1) = "1" ), 3, 4 ) ) )</f>
        <v>4</v>
      </c>
      <c r="BD117" s="7">
        <v>0.16439174042633076</v>
      </c>
      <c r="BE117" s="7" t="str">
        <f>"0"</f>
        <v>0</v>
      </c>
      <c r="BF117" t="str">
        <f ca="1">IF((OFFSET($A$1, 117 - 1, 56 - 1)) &gt;= (OFFSET($A$1, 92 - 1, 7 - 1)), "1","0")</f>
        <v>0</v>
      </c>
      <c r="BG117">
        <f ca="1" xml:space="preserve"> IF( AND( OFFSET($A$1, 117 - 1, 57 - 1) = "1", OFFSET($A$1, 117 - 1, 58 - 1) = "1" ), 1, IF( AND( OFFSET($A$1, 117 - 1, 57 - 1) = "1", OFFSET($A$1, 117 - 1, 58 - 1) = "0" ), 2, IF( AND( OFFSET($A$1, 117 - 1, 57 - 1) = "0", OFFSET($A$1, 117 - 1, 58 - 1) = "1" ), 3, 4 ) ) )</f>
        <v>4</v>
      </c>
    </row>
    <row r="118" spans="51:59" x14ac:dyDescent="0.25">
      <c r="AY118" s="7">
        <v>0.16790078346362572</v>
      </c>
      <c r="AZ118" s="7" t="str">
        <f>"0"</f>
        <v>0</v>
      </c>
      <c r="BA118" t="str">
        <f ca="1">IF((OFFSET($A$1, 118 - 1, 51 - 1)) &gt;= (OFFSET($A$1, 68 - 1, 7 - 1)), "1","0")</f>
        <v>0</v>
      </c>
      <c r="BB118">
        <f ca="1" xml:space="preserve"> IF( AND( OFFSET($A$1, 118 - 1, 52 - 1) = "1", OFFSET($A$1, 118 - 1, 53 - 1) = "1" ), 1, IF( AND( OFFSET($A$1, 118 - 1, 52 - 1) = "1", OFFSET($A$1, 118 - 1, 53 - 1) = "0" ), 2, IF( AND( OFFSET($A$1, 118 - 1, 52 - 1) = "0", OFFSET($A$1, 118 - 1, 53 - 1) = "1" ), 3, 4 ) ) )</f>
        <v>4</v>
      </c>
      <c r="BD118" s="7">
        <v>0.20117804359590838</v>
      </c>
      <c r="BE118" s="7" t="str">
        <f>"1"</f>
        <v>1</v>
      </c>
      <c r="BF118" t="str">
        <f ca="1">IF((OFFSET($A$1, 118 - 1, 56 - 1)) &gt;= (OFFSET($A$1, 92 - 1, 7 - 1)), "1","0")</f>
        <v>0</v>
      </c>
      <c r="BG118">
        <f ca="1" xml:space="preserve"> IF( AND( OFFSET($A$1, 118 - 1, 57 - 1) = "1", OFFSET($A$1, 118 - 1, 58 - 1) = "1" ), 1, IF( AND( OFFSET($A$1, 118 - 1, 57 - 1) = "1", OFFSET($A$1, 118 - 1, 58 - 1) = "0" ), 2, IF( AND( OFFSET($A$1, 118 - 1, 57 - 1) = "0", OFFSET($A$1, 118 - 1, 58 - 1) = "1" ), 3, 4 ) ) )</f>
        <v>2</v>
      </c>
    </row>
    <row r="119" spans="51:59" x14ac:dyDescent="0.25">
      <c r="AY119" s="7">
        <v>0.22012015701298474</v>
      </c>
      <c r="AZ119" s="7" t="str">
        <f>"0"</f>
        <v>0</v>
      </c>
      <c r="BA119" t="str">
        <f ca="1">IF((OFFSET($A$1, 119 - 1, 51 - 1)) &gt;= (OFFSET($A$1, 68 - 1, 7 - 1)), "1","0")</f>
        <v>0</v>
      </c>
      <c r="BB119">
        <f ca="1" xml:space="preserve"> IF( AND( OFFSET($A$1, 119 - 1, 52 - 1) = "1", OFFSET($A$1, 119 - 1, 53 - 1) = "1" ), 1, IF( AND( OFFSET($A$1, 119 - 1, 52 - 1) = "1", OFFSET($A$1, 119 - 1, 53 - 1) = "0" ), 2, IF( AND( OFFSET($A$1, 119 - 1, 52 - 1) = "0", OFFSET($A$1, 119 - 1, 53 - 1) = "1" ), 3, 4 ) ) )</f>
        <v>4</v>
      </c>
      <c r="BD119" s="7">
        <v>0.17785866534839434</v>
      </c>
      <c r="BE119" s="7" t="str">
        <f>"0"</f>
        <v>0</v>
      </c>
      <c r="BF119" t="str">
        <f ca="1">IF((OFFSET($A$1, 119 - 1, 56 - 1)) &gt;= (OFFSET($A$1, 92 - 1, 7 - 1)), "1","0")</f>
        <v>0</v>
      </c>
      <c r="BG119">
        <f ca="1" xml:space="preserve"> IF( AND( OFFSET($A$1, 119 - 1, 57 - 1) = "1", OFFSET($A$1, 119 - 1, 58 - 1) = "1" ), 1, IF( AND( OFFSET($A$1, 119 - 1, 57 - 1) = "1", OFFSET($A$1, 119 - 1, 58 - 1) = "0" ), 2, IF( AND( OFFSET($A$1, 119 - 1, 57 - 1) = "0", OFFSET($A$1, 119 - 1, 58 - 1) = "1" ), 3, 4 ) ) )</f>
        <v>4</v>
      </c>
    </row>
    <row r="120" spans="51:59" x14ac:dyDescent="0.25">
      <c r="AY120" s="7">
        <v>0.19217507898421096</v>
      </c>
      <c r="AZ120" s="7" t="str">
        <f>"0"</f>
        <v>0</v>
      </c>
      <c r="BA120" t="str">
        <f ca="1">IF((OFFSET($A$1, 120 - 1, 51 - 1)) &gt;= (OFFSET($A$1, 68 - 1, 7 - 1)), "1","0")</f>
        <v>0</v>
      </c>
      <c r="BB120">
        <f ca="1" xml:space="preserve"> IF( AND( OFFSET($A$1, 120 - 1, 52 - 1) = "1", OFFSET($A$1, 120 - 1, 53 - 1) = "1" ), 1, IF( AND( OFFSET($A$1, 120 - 1, 52 - 1) = "1", OFFSET($A$1, 120 - 1, 53 - 1) = "0" ), 2, IF( AND( OFFSET($A$1, 120 - 1, 52 - 1) = "0", OFFSET($A$1, 120 - 1, 53 - 1) = "1" ), 3, 4 ) ) )</f>
        <v>4</v>
      </c>
      <c r="BD120" s="7">
        <v>0.17509782079575215</v>
      </c>
      <c r="BE120" s="7" t="str">
        <f>"0"</f>
        <v>0</v>
      </c>
      <c r="BF120" t="str">
        <f ca="1">IF((OFFSET($A$1, 120 - 1, 56 - 1)) &gt;= (OFFSET($A$1, 92 - 1, 7 - 1)), "1","0")</f>
        <v>0</v>
      </c>
      <c r="BG120">
        <f ca="1" xml:space="preserve"> IF( AND( OFFSET($A$1, 120 - 1, 57 - 1) = "1", OFFSET($A$1, 120 - 1, 58 - 1) = "1" ), 1, IF( AND( OFFSET($A$1, 120 - 1, 57 - 1) = "1", OFFSET($A$1, 120 - 1, 58 - 1) = "0" ), 2, IF( AND( OFFSET($A$1, 120 - 1, 57 - 1) = "0", OFFSET($A$1, 120 - 1, 58 - 1) = "1" ), 3, 4 ) ) )</f>
        <v>4</v>
      </c>
    </row>
    <row r="121" spans="51:59" x14ac:dyDescent="0.25">
      <c r="AY121" s="7">
        <v>0.20839591789254663</v>
      </c>
      <c r="AZ121" s="7" t="str">
        <f>"0"</f>
        <v>0</v>
      </c>
      <c r="BA121" t="str">
        <f ca="1">IF((OFFSET($A$1, 121 - 1, 51 - 1)) &gt;= (OFFSET($A$1, 68 - 1, 7 - 1)), "1","0")</f>
        <v>0</v>
      </c>
      <c r="BB121">
        <f ca="1" xml:space="preserve"> IF( AND( OFFSET($A$1, 121 - 1, 52 - 1) = "1", OFFSET($A$1, 121 - 1, 53 - 1) = "1" ), 1, IF( AND( OFFSET($A$1, 121 - 1, 52 - 1) = "1", OFFSET($A$1, 121 - 1, 53 - 1) = "0" ), 2, IF( AND( OFFSET($A$1, 121 - 1, 52 - 1) = "0", OFFSET($A$1, 121 - 1, 53 - 1) = "1" ), 3, 4 ) ) )</f>
        <v>4</v>
      </c>
      <c r="BD121" s="7">
        <v>0.20631438947420566</v>
      </c>
      <c r="BE121" s="7" t="str">
        <f>"1"</f>
        <v>1</v>
      </c>
      <c r="BF121" t="str">
        <f ca="1">IF((OFFSET($A$1, 121 - 1, 56 - 1)) &gt;= (OFFSET($A$1, 92 - 1, 7 - 1)), "1","0")</f>
        <v>0</v>
      </c>
      <c r="BG121">
        <f ca="1" xml:space="preserve"> IF( AND( OFFSET($A$1, 121 - 1, 57 - 1) = "1", OFFSET($A$1, 121 - 1, 58 - 1) = "1" ), 1, IF( AND( OFFSET($A$1, 121 - 1, 57 - 1) = "1", OFFSET($A$1, 121 - 1, 58 - 1) = "0" ), 2, IF( AND( OFFSET($A$1, 121 - 1, 57 - 1) = "0", OFFSET($A$1, 121 - 1, 58 - 1) = "1" ), 3, 4 ) ) )</f>
        <v>2</v>
      </c>
    </row>
    <row r="122" spans="51:59" x14ac:dyDescent="0.25">
      <c r="AY122" s="7">
        <v>0.11727308826383263</v>
      </c>
      <c r="AZ122" s="7" t="str">
        <f>"0"</f>
        <v>0</v>
      </c>
      <c r="BA122" t="str">
        <f ca="1">IF((OFFSET($A$1, 122 - 1, 51 - 1)) &gt;= (OFFSET($A$1, 68 - 1, 7 - 1)), "1","0")</f>
        <v>0</v>
      </c>
      <c r="BB122">
        <f ca="1" xml:space="preserve"> IF( AND( OFFSET($A$1, 122 - 1, 52 - 1) = "1", OFFSET($A$1, 122 - 1, 53 - 1) = "1" ), 1, IF( AND( OFFSET($A$1, 122 - 1, 52 - 1) = "1", OFFSET($A$1, 122 - 1, 53 - 1) = "0" ), 2, IF( AND( OFFSET($A$1, 122 - 1, 52 - 1) = "0", OFFSET($A$1, 122 - 1, 53 - 1) = "1" ), 3, 4 ) ) )</f>
        <v>4</v>
      </c>
      <c r="BD122" s="7">
        <v>0.13841212205338652</v>
      </c>
      <c r="BE122" s="7" t="str">
        <f>"0"</f>
        <v>0</v>
      </c>
      <c r="BF122" t="str">
        <f ca="1">IF((OFFSET($A$1, 122 - 1, 56 - 1)) &gt;= (OFFSET($A$1, 92 - 1, 7 - 1)), "1","0")</f>
        <v>0</v>
      </c>
      <c r="BG122">
        <f ca="1" xml:space="preserve"> IF( AND( OFFSET($A$1, 122 - 1, 57 - 1) = "1", OFFSET($A$1, 122 - 1, 58 - 1) = "1" ), 1, IF( AND( OFFSET($A$1, 122 - 1, 57 - 1) = "1", OFFSET($A$1, 122 - 1, 58 - 1) = "0" ), 2, IF( AND( OFFSET($A$1, 122 - 1, 57 - 1) = "0", OFFSET($A$1, 122 - 1, 58 - 1) = "1" ), 3, 4 ) ) )</f>
        <v>4</v>
      </c>
    </row>
    <row r="123" spans="51:59" x14ac:dyDescent="0.25">
      <c r="AY123" s="7">
        <v>0.14456473871088638</v>
      </c>
      <c r="AZ123" s="7" t="str">
        <f>"0"</f>
        <v>0</v>
      </c>
      <c r="BA123" t="str">
        <f ca="1">IF((OFFSET($A$1, 123 - 1, 51 - 1)) &gt;= (OFFSET($A$1, 68 - 1, 7 - 1)), "1","0")</f>
        <v>0</v>
      </c>
      <c r="BB123">
        <f ca="1" xml:space="preserve"> IF( AND( OFFSET($A$1, 123 - 1, 52 - 1) = "1", OFFSET($A$1, 123 - 1, 53 - 1) = "1" ), 1, IF( AND( OFFSET($A$1, 123 - 1, 52 - 1) = "1", OFFSET($A$1, 123 - 1, 53 - 1) = "0" ), 2, IF( AND( OFFSET($A$1, 123 - 1, 52 - 1) = "0", OFFSET($A$1, 123 - 1, 53 - 1) = "1" ), 3, 4 ) ) )</f>
        <v>4</v>
      </c>
      <c r="BD123" s="7">
        <v>0.21903503426978932</v>
      </c>
      <c r="BE123" s="7" t="str">
        <f>"0"</f>
        <v>0</v>
      </c>
      <c r="BF123" t="str">
        <f ca="1">IF((OFFSET($A$1, 123 - 1, 56 - 1)) &gt;= (OFFSET($A$1, 92 - 1, 7 - 1)), "1","0")</f>
        <v>0</v>
      </c>
      <c r="BG123">
        <f ca="1" xml:space="preserve"> IF( AND( OFFSET($A$1, 123 - 1, 57 - 1) = "1", OFFSET($A$1, 123 - 1, 58 - 1) = "1" ), 1, IF( AND( OFFSET($A$1, 123 - 1, 57 - 1) = "1", OFFSET($A$1, 123 - 1, 58 - 1) = "0" ), 2, IF( AND( OFFSET($A$1, 123 - 1, 57 - 1) = "0", OFFSET($A$1, 123 - 1, 58 - 1) = "1" ), 3, 4 ) ) )</f>
        <v>4</v>
      </c>
    </row>
    <row r="124" spans="51:59" x14ac:dyDescent="0.25">
      <c r="AY124" s="7">
        <v>0.13992935774689849</v>
      </c>
      <c r="AZ124" s="7" t="str">
        <f>"0"</f>
        <v>0</v>
      </c>
      <c r="BA124" t="str">
        <f ca="1">IF((OFFSET($A$1, 124 - 1, 51 - 1)) &gt;= (OFFSET($A$1, 68 - 1, 7 - 1)), "1","0")</f>
        <v>0</v>
      </c>
      <c r="BB124">
        <f ca="1" xml:space="preserve"> IF( AND( OFFSET($A$1, 124 - 1, 52 - 1) = "1", OFFSET($A$1, 124 - 1, 53 - 1) = "1" ), 1, IF( AND( OFFSET($A$1, 124 - 1, 52 - 1) = "1", OFFSET($A$1, 124 - 1, 53 - 1) = "0" ), 2, IF( AND( OFFSET($A$1, 124 - 1, 52 - 1) = "0", OFFSET($A$1, 124 - 1, 53 - 1) = "1" ), 3, 4 ) ) )</f>
        <v>4</v>
      </c>
      <c r="BD124" s="7">
        <v>0.15094293437357126</v>
      </c>
      <c r="BE124" s="7" t="str">
        <f>"0"</f>
        <v>0</v>
      </c>
      <c r="BF124" t="str">
        <f ca="1">IF((OFFSET($A$1, 124 - 1, 56 - 1)) &gt;= (OFFSET($A$1, 92 - 1, 7 - 1)), "1","0")</f>
        <v>0</v>
      </c>
      <c r="BG124">
        <f ca="1" xml:space="preserve"> IF( AND( OFFSET($A$1, 124 - 1, 57 - 1) = "1", OFFSET($A$1, 124 - 1, 58 - 1) = "1" ), 1, IF( AND( OFFSET($A$1, 124 - 1, 57 - 1) = "1", OFFSET($A$1, 124 - 1, 58 - 1) = "0" ), 2, IF( AND( OFFSET($A$1, 124 - 1, 57 - 1) = "0", OFFSET($A$1, 124 - 1, 58 - 1) = "1" ), 3, 4 ) ) )</f>
        <v>4</v>
      </c>
    </row>
    <row r="125" spans="51:59" x14ac:dyDescent="0.25">
      <c r="AY125" s="7">
        <v>0.20117804359590838</v>
      </c>
      <c r="AZ125" s="7" t="str">
        <f>"0"</f>
        <v>0</v>
      </c>
      <c r="BA125" t="str">
        <f ca="1">IF((OFFSET($A$1, 125 - 1, 51 - 1)) &gt;= (OFFSET($A$1, 68 - 1, 7 - 1)), "1","0")</f>
        <v>0</v>
      </c>
      <c r="BB125">
        <f ca="1" xml:space="preserve"> IF( AND( OFFSET($A$1, 125 - 1, 52 - 1) = "1", OFFSET($A$1, 125 - 1, 53 - 1) = "1" ), 1, IF( AND( OFFSET($A$1, 125 - 1, 52 - 1) = "1", OFFSET($A$1, 125 - 1, 53 - 1) = "0" ), 2, IF( AND( OFFSET($A$1, 125 - 1, 52 - 1) = "0", OFFSET($A$1, 125 - 1, 53 - 1) = "1" ), 3, 4 ) ) )</f>
        <v>4</v>
      </c>
      <c r="BD125" s="7">
        <v>0.10360261217071784</v>
      </c>
      <c r="BE125" s="7" t="str">
        <f>"0"</f>
        <v>0</v>
      </c>
      <c r="BF125" t="str">
        <f ca="1">IF((OFFSET($A$1, 125 - 1, 56 - 1)) &gt;= (OFFSET($A$1, 92 - 1, 7 - 1)), "1","0")</f>
        <v>0</v>
      </c>
      <c r="BG125">
        <f ca="1" xml:space="preserve"> IF( AND( OFFSET($A$1, 125 - 1, 57 - 1) = "1", OFFSET($A$1, 125 - 1, 58 - 1) = "1" ), 1, IF( AND( OFFSET($A$1, 125 - 1, 57 - 1) = "1", OFFSET($A$1, 125 - 1, 58 - 1) = "0" ), 2, IF( AND( OFFSET($A$1, 125 - 1, 57 - 1) = "0", OFFSET($A$1, 125 - 1, 58 - 1) = "1" ), 3, 4 ) ) )</f>
        <v>4</v>
      </c>
    </row>
    <row r="126" spans="51:59" x14ac:dyDescent="0.25">
      <c r="AY126" s="7">
        <v>0.27667488888216679</v>
      </c>
      <c r="AZ126" s="7" t="str">
        <f>"0"</f>
        <v>0</v>
      </c>
      <c r="BA126" t="str">
        <f ca="1">IF((OFFSET($A$1, 126 - 1, 51 - 1)) &gt;= (OFFSET($A$1, 68 - 1, 7 - 1)), "1","0")</f>
        <v>0</v>
      </c>
      <c r="BB126">
        <f ca="1" xml:space="preserve"> IF( AND( OFFSET($A$1, 126 - 1, 52 - 1) = "1", OFFSET($A$1, 126 - 1, 53 - 1) = "1" ), 1, IF( AND( OFFSET($A$1, 126 - 1, 52 - 1) = "1", OFFSET($A$1, 126 - 1, 53 - 1) = "0" ), 2, IF( AND( OFFSET($A$1, 126 - 1, 52 - 1) = "0", OFFSET($A$1, 126 - 1, 53 - 1) = "1" ), 3, 4 ) ) )</f>
        <v>4</v>
      </c>
      <c r="BD126" s="7">
        <v>0.19814245947234735</v>
      </c>
      <c r="BE126" s="7" t="str">
        <f>"1"</f>
        <v>1</v>
      </c>
      <c r="BF126" t="str">
        <f ca="1">IF((OFFSET($A$1, 126 - 1, 56 - 1)) &gt;= (OFFSET($A$1, 92 - 1, 7 - 1)), "1","0")</f>
        <v>0</v>
      </c>
      <c r="BG126">
        <f ca="1" xml:space="preserve"> IF( AND( OFFSET($A$1, 126 - 1, 57 - 1) = "1", OFFSET($A$1, 126 - 1, 58 - 1) = "1" ), 1, IF( AND( OFFSET($A$1, 126 - 1, 57 - 1) = "1", OFFSET($A$1, 126 - 1, 58 - 1) = "0" ), 2, IF( AND( OFFSET($A$1, 126 - 1, 57 - 1) = "0", OFFSET($A$1, 126 - 1, 58 - 1) = "1" ), 3, 4 ) ) )</f>
        <v>2</v>
      </c>
    </row>
    <row r="127" spans="51:59" x14ac:dyDescent="0.25">
      <c r="AY127" s="7">
        <v>0.19217507898421096</v>
      </c>
      <c r="AZ127" s="7" t="str">
        <f>"0"</f>
        <v>0</v>
      </c>
      <c r="BA127" t="str">
        <f ca="1">IF((OFFSET($A$1, 127 - 1, 51 - 1)) &gt;= (OFFSET($A$1, 68 - 1, 7 - 1)), "1","0")</f>
        <v>0</v>
      </c>
      <c r="BB127">
        <f ca="1" xml:space="preserve"> IF( AND( OFFSET($A$1, 127 - 1, 52 - 1) = "1", OFFSET($A$1, 127 - 1, 53 - 1) = "1" ), 1, IF( AND( OFFSET($A$1, 127 - 1, 52 - 1) = "1", OFFSET($A$1, 127 - 1, 53 - 1) = "0" ), 2, IF( AND( OFFSET($A$1, 127 - 1, 52 - 1) = "0", OFFSET($A$1, 127 - 1, 53 - 1) = "1" ), 3, 4 ) ) )</f>
        <v>4</v>
      </c>
      <c r="BD127" s="7">
        <v>0.23685828821051477</v>
      </c>
      <c r="BE127" s="7" t="str">
        <f>"1"</f>
        <v>1</v>
      </c>
      <c r="BF127" t="str">
        <f ca="1">IF((OFFSET($A$1, 127 - 1, 56 - 1)) &gt;= (OFFSET($A$1, 92 - 1, 7 - 1)), "1","0")</f>
        <v>0</v>
      </c>
      <c r="BG127">
        <f ca="1" xml:space="preserve"> IF( AND( OFFSET($A$1, 127 - 1, 57 - 1) = "1", OFFSET($A$1, 127 - 1, 58 - 1) = "1" ), 1, IF( AND( OFFSET($A$1, 127 - 1, 57 - 1) = "1", OFFSET($A$1, 127 - 1, 58 - 1) = "0" ), 2, IF( AND( OFFSET($A$1, 127 - 1, 57 - 1) = "0", OFFSET($A$1, 127 - 1, 58 - 1) = "1" ), 3, 4 ) ) )</f>
        <v>2</v>
      </c>
    </row>
    <row r="128" spans="51:59" x14ac:dyDescent="0.25">
      <c r="AY128" s="7">
        <v>0.24967874791753278</v>
      </c>
      <c r="AZ128" s="7" t="str">
        <f>"0"</f>
        <v>0</v>
      </c>
      <c r="BA128" t="str">
        <f ca="1">IF((OFFSET($A$1, 128 - 1, 51 - 1)) &gt;= (OFFSET($A$1, 68 - 1, 7 - 1)), "1","0")</f>
        <v>0</v>
      </c>
      <c r="BB128">
        <f ca="1" xml:space="preserve"> IF( AND( OFFSET($A$1, 128 - 1, 52 - 1) = "1", OFFSET($A$1, 128 - 1, 53 - 1) = "1" ), 1, IF( AND( OFFSET($A$1, 128 - 1, 52 - 1) = "1", OFFSET($A$1, 128 - 1, 53 - 1) = "0" ), 2, IF( AND( OFFSET($A$1, 128 - 1, 52 - 1) = "0", OFFSET($A$1, 128 - 1, 53 - 1) = "1" ), 3, 4 ) ) )</f>
        <v>4</v>
      </c>
      <c r="BD128" s="7">
        <v>0.15671205196085616</v>
      </c>
      <c r="BE128" s="7" t="str">
        <f>"1"</f>
        <v>1</v>
      </c>
      <c r="BF128" t="str">
        <f ca="1">IF((OFFSET($A$1, 128 - 1, 56 - 1)) &gt;= (OFFSET($A$1, 92 - 1, 7 - 1)), "1","0")</f>
        <v>0</v>
      </c>
      <c r="BG128">
        <f ca="1" xml:space="preserve"> IF( AND( OFFSET($A$1, 128 - 1, 57 - 1) = "1", OFFSET($A$1, 128 - 1, 58 - 1) = "1" ), 1, IF( AND( OFFSET($A$1, 128 - 1, 57 - 1) = "1", OFFSET($A$1, 128 - 1, 58 - 1) = "0" ), 2, IF( AND( OFFSET($A$1, 128 - 1, 57 - 1) = "0", OFFSET($A$1, 128 - 1, 58 - 1) = "1" ), 3, 4 ) ) )</f>
        <v>2</v>
      </c>
    </row>
    <row r="129" spans="51:59" x14ac:dyDescent="0.25">
      <c r="AY129" s="7">
        <v>0.12676626407826649</v>
      </c>
      <c r="AZ129" s="7" t="str">
        <f>"0"</f>
        <v>0</v>
      </c>
      <c r="BA129" t="str">
        <f ca="1">IF((OFFSET($A$1, 129 - 1, 51 - 1)) &gt;= (OFFSET($A$1, 68 - 1, 7 - 1)), "1","0")</f>
        <v>0</v>
      </c>
      <c r="BB129">
        <f ca="1" xml:space="preserve"> IF( AND( OFFSET($A$1, 129 - 1, 52 - 1) = "1", OFFSET($A$1, 129 - 1, 53 - 1) = "1" ), 1, IF( AND( OFFSET($A$1, 129 - 1, 52 - 1) = "1", OFFSET($A$1, 129 - 1, 53 - 1) = "0" ), 2, IF( AND( OFFSET($A$1, 129 - 1, 52 - 1) = "0", OFFSET($A$1, 129 - 1, 53 - 1) = "1" ), 3, 4 ) ) )</f>
        <v>4</v>
      </c>
      <c r="BD129" s="7">
        <v>0.1797181087064097</v>
      </c>
      <c r="BE129" s="7" t="str">
        <f>"0"</f>
        <v>0</v>
      </c>
      <c r="BF129" t="str">
        <f ca="1">IF((OFFSET($A$1, 129 - 1, 56 - 1)) &gt;= (OFFSET($A$1, 92 - 1, 7 - 1)), "1","0")</f>
        <v>0</v>
      </c>
      <c r="BG129">
        <f ca="1" xml:space="preserve"> IF( AND( OFFSET($A$1, 129 - 1, 57 - 1) = "1", OFFSET($A$1, 129 - 1, 58 - 1) = "1" ), 1, IF( AND( OFFSET($A$1, 129 - 1, 57 - 1) = "1", OFFSET($A$1, 129 - 1, 58 - 1) = "0" ), 2, IF( AND( OFFSET($A$1, 129 - 1, 57 - 1) = "0", OFFSET($A$1, 129 - 1, 58 - 1) = "1" ), 3, 4 ) ) )</f>
        <v>4</v>
      </c>
    </row>
    <row r="130" spans="51:59" x14ac:dyDescent="0.25">
      <c r="AY130" s="7">
        <v>0.17237084680323442</v>
      </c>
      <c r="AZ130" s="7" t="str">
        <f>"0"</f>
        <v>0</v>
      </c>
      <c r="BA130" t="str">
        <f ca="1">IF((OFFSET($A$1, 130 - 1, 51 - 1)) &gt;= (OFFSET($A$1, 68 - 1, 7 - 1)), "1","0")</f>
        <v>0</v>
      </c>
      <c r="BB130">
        <f ca="1" xml:space="preserve"> IF( AND( OFFSET($A$1, 130 - 1, 52 - 1) = "1", OFFSET($A$1, 130 - 1, 53 - 1) = "1" ), 1, IF( AND( OFFSET($A$1, 130 - 1, 52 - 1) = "1", OFFSET($A$1, 130 - 1, 53 - 1) = "0" ), 2, IF( AND( OFFSET($A$1, 130 - 1, 52 - 1) = "0", OFFSET($A$1, 130 - 1, 53 - 1) = "1" ), 3, 4 ) ) )</f>
        <v>4</v>
      </c>
      <c r="BD130" s="7">
        <v>0.1991504722994584</v>
      </c>
      <c r="BE130" s="7" t="str">
        <f>"0"</f>
        <v>0</v>
      </c>
      <c r="BF130" t="str">
        <f ca="1">IF((OFFSET($A$1, 130 - 1, 56 - 1)) &gt;= (OFFSET($A$1, 92 - 1, 7 - 1)), "1","0")</f>
        <v>0</v>
      </c>
      <c r="BG130">
        <f ca="1" xml:space="preserve"> IF( AND( OFFSET($A$1, 130 - 1, 57 - 1) = "1", OFFSET($A$1, 130 - 1, 58 - 1) = "1" ), 1, IF( AND( OFFSET($A$1, 130 - 1, 57 - 1) = "1", OFFSET($A$1, 130 - 1, 58 - 1) = "0" ), 2, IF( AND( OFFSET($A$1, 130 - 1, 57 - 1) = "0", OFFSET($A$1, 130 - 1, 58 - 1) = "1" ), 3, 4 ) ) )</f>
        <v>4</v>
      </c>
    </row>
    <row r="131" spans="51:59" x14ac:dyDescent="0.25">
      <c r="AY131" s="7">
        <v>0.15839300868263137</v>
      </c>
      <c r="AZ131" s="7" t="str">
        <f>"0"</f>
        <v>0</v>
      </c>
      <c r="BA131" t="str">
        <f ca="1">IF((OFFSET($A$1, 131 - 1, 51 - 1)) &gt;= (OFFSET($A$1, 68 - 1, 7 - 1)), "1","0")</f>
        <v>0</v>
      </c>
      <c r="BB131">
        <f ca="1" xml:space="preserve"> IF( AND( OFFSET($A$1, 131 - 1, 52 - 1) = "1", OFFSET($A$1, 131 - 1, 53 - 1) = "1" ), 1, IF( AND( OFFSET($A$1, 131 - 1, 52 - 1) = "1", OFFSET($A$1, 131 - 1, 53 - 1) = "0" ), 2, IF( AND( OFFSET($A$1, 131 - 1, 52 - 1) = "0", OFFSET($A$1, 131 - 1, 53 - 1) = "1" ), 3, 4 ) ) )</f>
        <v>4</v>
      </c>
      <c r="BD131" s="7">
        <v>0.15013318399277006</v>
      </c>
      <c r="BE131" s="7" t="str">
        <f>"0"</f>
        <v>0</v>
      </c>
      <c r="BF131" t="str">
        <f ca="1">IF((OFFSET($A$1, 131 - 1, 56 - 1)) &gt;= (OFFSET($A$1, 92 - 1, 7 - 1)), "1","0")</f>
        <v>0</v>
      </c>
      <c r="BG131">
        <f ca="1" xml:space="preserve"> IF( AND( OFFSET($A$1, 131 - 1, 57 - 1) = "1", OFFSET($A$1, 131 - 1, 58 - 1) = "1" ), 1, IF( AND( OFFSET($A$1, 131 - 1, 57 - 1) = "1", OFFSET($A$1, 131 - 1, 58 - 1) = "0" ), 2, IF( AND( OFFSET($A$1, 131 - 1, 57 - 1) = "0", OFFSET($A$1, 131 - 1, 58 - 1) = "1" ), 3, 4 ) ) )</f>
        <v>4</v>
      </c>
    </row>
    <row r="132" spans="51:59" x14ac:dyDescent="0.25">
      <c r="AY132" s="7">
        <v>0.21580279613996525</v>
      </c>
      <c r="AZ132" s="7" t="str">
        <f>"0"</f>
        <v>0</v>
      </c>
      <c r="BA132" t="str">
        <f ca="1">IF((OFFSET($A$1, 132 - 1, 51 - 1)) &gt;= (OFFSET($A$1, 68 - 1, 7 - 1)), "1","0")</f>
        <v>0</v>
      </c>
      <c r="BB132">
        <f ca="1" xml:space="preserve"> IF( AND( OFFSET($A$1, 132 - 1, 52 - 1) = "1", OFFSET($A$1, 132 - 1, 53 - 1) = "1" ), 1, IF( AND( OFFSET($A$1, 132 - 1, 52 - 1) = "1", OFFSET($A$1, 132 - 1, 53 - 1) = "0" ), 2, IF( AND( OFFSET($A$1, 132 - 1, 52 - 1) = "0", OFFSET($A$1, 132 - 1, 53 - 1) = "1" ), 3, 4 ) ) )</f>
        <v>4</v>
      </c>
      <c r="BD132" s="7">
        <v>0.12398881188590842</v>
      </c>
      <c r="BE132" s="7" t="str">
        <f>"0"</f>
        <v>0</v>
      </c>
      <c r="BF132" t="str">
        <f ca="1">IF((OFFSET($A$1, 132 - 1, 56 - 1)) &gt;= (OFFSET($A$1, 92 - 1, 7 - 1)), "1","0")</f>
        <v>0</v>
      </c>
      <c r="BG132">
        <f ca="1" xml:space="preserve"> IF( AND( OFFSET($A$1, 132 - 1, 57 - 1) = "1", OFFSET($A$1, 132 - 1, 58 - 1) = "1" ), 1, IF( AND( OFFSET($A$1, 132 - 1, 57 - 1) = "1", OFFSET($A$1, 132 - 1, 58 - 1) = "0" ), 2, IF( AND( OFFSET($A$1, 132 - 1, 57 - 1) = "0", OFFSET($A$1, 132 - 1, 58 - 1) = "1" ), 3, 4 ) ) )</f>
        <v>4</v>
      </c>
    </row>
    <row r="133" spans="51:59" x14ac:dyDescent="0.25">
      <c r="AY133" s="7">
        <v>0.24030925003217191</v>
      </c>
      <c r="AZ133" s="7" t="str">
        <f>"0"</f>
        <v>0</v>
      </c>
      <c r="BA133" t="str">
        <f ca="1">IF((OFFSET($A$1, 133 - 1, 51 - 1)) &gt;= (OFFSET($A$1, 68 - 1, 7 - 1)), "1","0")</f>
        <v>0</v>
      </c>
      <c r="BB133">
        <f ca="1" xml:space="preserve"> IF( AND( OFFSET($A$1, 133 - 1, 52 - 1) = "1", OFFSET($A$1, 133 - 1, 53 - 1) = "1" ), 1, IF( AND( OFFSET($A$1, 133 - 1, 52 - 1) = "1", OFFSET($A$1, 133 - 1, 53 - 1) = "0" ), 2, IF( AND( OFFSET($A$1, 133 - 1, 52 - 1) = "0", OFFSET($A$1, 133 - 1, 53 - 1) = "1" ), 3, 4 ) ) )</f>
        <v>4</v>
      </c>
      <c r="BD133" s="7">
        <v>0.12606695469913834</v>
      </c>
      <c r="BE133" s="7" t="str">
        <f>"0"</f>
        <v>0</v>
      </c>
      <c r="BF133" t="str">
        <f ca="1">IF((OFFSET($A$1, 133 - 1, 56 - 1)) &gt;= (OFFSET($A$1, 92 - 1, 7 - 1)), "1","0")</f>
        <v>0</v>
      </c>
      <c r="BG133">
        <f ca="1" xml:space="preserve"> IF( AND( OFFSET($A$1, 133 - 1, 57 - 1) = "1", OFFSET($A$1, 133 - 1, 58 - 1) = "1" ), 1, IF( AND( OFFSET($A$1, 133 - 1, 57 - 1) = "1", OFFSET($A$1, 133 - 1, 58 - 1) = "0" ), 2, IF( AND( OFFSET($A$1, 133 - 1, 57 - 1) = "0", OFFSET($A$1, 133 - 1, 58 - 1) = "1" ), 3, 4 ) ) )</f>
        <v>4</v>
      </c>
    </row>
    <row r="134" spans="51:59" x14ac:dyDescent="0.25">
      <c r="AY134" s="7">
        <v>0.13690871879649361</v>
      </c>
      <c r="AZ134" s="7" t="str">
        <f>"0"</f>
        <v>0</v>
      </c>
      <c r="BA134" t="str">
        <f ca="1">IF((OFFSET($A$1, 134 - 1, 51 - 1)) &gt;= (OFFSET($A$1, 68 - 1, 7 - 1)), "1","0")</f>
        <v>0</v>
      </c>
      <c r="BB134">
        <f ca="1" xml:space="preserve"> IF( AND( OFFSET($A$1, 134 - 1, 52 - 1) = "1", OFFSET($A$1, 134 - 1, 53 - 1) = "1" ), 1, IF( AND( OFFSET($A$1, 134 - 1, 52 - 1) = "1", OFFSET($A$1, 134 - 1, 53 - 1) = "0" ), 2, IF( AND( OFFSET($A$1, 134 - 1, 52 - 1) = "0", OFFSET($A$1, 134 - 1, 53 - 1) = "1" ), 3, 4 ) ) )</f>
        <v>4</v>
      </c>
      <c r="BD134" s="7">
        <v>0.23005944989951957</v>
      </c>
      <c r="BE134" s="7" t="str">
        <f>"1"</f>
        <v>1</v>
      </c>
      <c r="BF134" t="str">
        <f ca="1">IF((OFFSET($A$1, 134 - 1, 56 - 1)) &gt;= (OFFSET($A$1, 92 - 1, 7 - 1)), "1","0")</f>
        <v>0</v>
      </c>
      <c r="BG134">
        <f ca="1" xml:space="preserve"> IF( AND( OFFSET($A$1, 134 - 1, 57 - 1) = "1", OFFSET($A$1, 134 - 1, 58 - 1) = "1" ), 1, IF( AND( OFFSET($A$1, 134 - 1, 57 - 1) = "1", OFFSET($A$1, 134 - 1, 58 - 1) = "0" ), 2, IF( AND( OFFSET($A$1, 134 - 1, 57 - 1) = "0", OFFSET($A$1, 134 - 1, 58 - 1) = "1" ), 3, 4 ) ) )</f>
        <v>2</v>
      </c>
    </row>
    <row r="135" spans="51:59" x14ac:dyDescent="0.25">
      <c r="AY135" s="7">
        <v>0.14300559915345581</v>
      </c>
      <c r="AZ135" s="7" t="str">
        <f>"0"</f>
        <v>0</v>
      </c>
      <c r="BA135" t="str">
        <f ca="1">IF((OFFSET($A$1, 135 - 1, 51 - 1)) &gt;= (OFFSET($A$1, 68 - 1, 7 - 1)), "1","0")</f>
        <v>0</v>
      </c>
      <c r="BB135">
        <f ca="1" xml:space="preserve"> IF( AND( OFFSET($A$1, 135 - 1, 52 - 1) = "1", OFFSET($A$1, 135 - 1, 53 - 1) = "1" ), 1, IF( AND( OFFSET($A$1, 135 - 1, 52 - 1) = "1", OFFSET($A$1, 135 - 1, 53 - 1) = "0" ), 2, IF( AND( OFFSET($A$1, 135 - 1, 52 - 1) = "0", OFFSET($A$1, 135 - 1, 53 - 1) = "1" ), 3, 4 ) ) )</f>
        <v>4</v>
      </c>
      <c r="BD135" s="7">
        <v>0.17418507262711561</v>
      </c>
      <c r="BE135" s="7" t="str">
        <f>"0"</f>
        <v>0</v>
      </c>
      <c r="BF135" t="str">
        <f ca="1">IF((OFFSET($A$1, 135 - 1, 56 - 1)) &gt;= (OFFSET($A$1, 92 - 1, 7 - 1)), "1","0")</f>
        <v>0</v>
      </c>
      <c r="BG135">
        <f ca="1" xml:space="preserve"> IF( AND( OFFSET($A$1, 135 - 1, 57 - 1) = "1", OFFSET($A$1, 135 - 1, 58 - 1) = "1" ), 1, IF( AND( OFFSET($A$1, 135 - 1, 57 - 1) = "1", OFFSET($A$1, 135 - 1, 58 - 1) = "0" ), 2, IF( AND( OFFSET($A$1, 135 - 1, 57 - 1) = "0", OFFSET($A$1, 135 - 1, 58 - 1) = "1" ), 3, 4 ) ) )</f>
        <v>4</v>
      </c>
    </row>
    <row r="136" spans="51:59" x14ac:dyDescent="0.25">
      <c r="AY136" s="7">
        <v>0.20944246859479526</v>
      </c>
      <c r="AZ136" s="7" t="str">
        <f>"1"</f>
        <v>1</v>
      </c>
      <c r="BA136" t="str">
        <f ca="1">IF((OFFSET($A$1, 136 - 1, 51 - 1)) &gt;= (OFFSET($A$1, 68 - 1, 7 - 1)), "1","0")</f>
        <v>0</v>
      </c>
      <c r="BB136">
        <f ca="1" xml:space="preserve"> IF( AND( OFFSET($A$1, 136 - 1, 52 - 1) = "1", OFFSET($A$1, 136 - 1, 53 - 1) = "1" ), 1, IF( AND( OFFSET($A$1, 136 - 1, 52 - 1) = "1", OFFSET($A$1, 136 - 1, 53 - 1) = "0" ), 2, IF( AND( OFFSET($A$1, 136 - 1, 52 - 1) = "0", OFFSET($A$1, 136 - 1, 53 - 1) = "1" ), 3, 4 ) ) )</f>
        <v>2</v>
      </c>
      <c r="BD136" s="7">
        <v>0.27038360799655531</v>
      </c>
      <c r="BE136" s="7" t="str">
        <f>"1"</f>
        <v>1</v>
      </c>
      <c r="BF136" t="str">
        <f ca="1">IF((OFFSET($A$1, 136 - 1, 56 - 1)) &gt;= (OFFSET($A$1, 92 - 1, 7 - 1)), "1","0")</f>
        <v>0</v>
      </c>
      <c r="BG136">
        <f ca="1" xml:space="preserve"> IF( AND( OFFSET($A$1, 136 - 1, 57 - 1) = "1", OFFSET($A$1, 136 - 1, 58 - 1) = "1" ), 1, IF( AND( OFFSET($A$1, 136 - 1, 57 - 1) = "1", OFFSET($A$1, 136 - 1, 58 - 1) = "0" ), 2, IF( AND( OFFSET($A$1, 136 - 1, 57 - 1) = "0", OFFSET($A$1, 136 - 1, 58 - 1) = "1" ), 3, 4 ) ) )</f>
        <v>2</v>
      </c>
    </row>
    <row r="137" spans="51:59" x14ac:dyDescent="0.25">
      <c r="AY137" s="7">
        <v>0.1797181087064097</v>
      </c>
      <c r="AZ137" s="7" t="str">
        <f>"0"</f>
        <v>0</v>
      </c>
      <c r="BA137" t="str">
        <f ca="1">IF((OFFSET($A$1, 137 - 1, 51 - 1)) &gt;= (OFFSET($A$1, 68 - 1, 7 - 1)), "1","0")</f>
        <v>0</v>
      </c>
      <c r="BB137">
        <f ca="1" xml:space="preserve"> IF( AND( OFFSET($A$1, 137 - 1, 52 - 1) = "1", OFFSET($A$1, 137 - 1, 53 - 1) = "1" ), 1, IF( AND( OFFSET($A$1, 137 - 1, 52 - 1) = "1", OFFSET($A$1, 137 - 1, 53 - 1) = "0" ), 2, IF( AND( OFFSET($A$1, 137 - 1, 52 - 1) = "0", OFFSET($A$1, 137 - 1, 53 - 1) = "1" ), 3, 4 ) ) )</f>
        <v>4</v>
      </c>
      <c r="BD137" s="7">
        <v>0.24731369849749185</v>
      </c>
      <c r="BE137" s="7" t="str">
        <f>"0"</f>
        <v>0</v>
      </c>
      <c r="BF137" t="str">
        <f ca="1">IF((OFFSET($A$1, 137 - 1, 56 - 1)) &gt;= (OFFSET($A$1, 92 - 1, 7 - 1)), "1","0")</f>
        <v>0</v>
      </c>
      <c r="BG137">
        <f ca="1" xml:space="preserve"> IF( AND( OFFSET($A$1, 137 - 1, 57 - 1) = "1", OFFSET($A$1, 137 - 1, 58 - 1) = "1" ), 1, IF( AND( OFFSET($A$1, 137 - 1, 57 - 1) = "1", OFFSET($A$1, 137 - 1, 58 - 1) = "0" ), 2, IF( AND( OFFSET($A$1, 137 - 1, 57 - 1) = "0", OFFSET($A$1, 137 - 1, 58 - 1) = "1" ), 3, 4 ) ) )</f>
        <v>4</v>
      </c>
    </row>
    <row r="138" spans="51:59" x14ac:dyDescent="0.25">
      <c r="AY138" s="7">
        <v>0.15839300868263137</v>
      </c>
      <c r="AZ138" s="7" t="str">
        <f>"0"</f>
        <v>0</v>
      </c>
      <c r="BA138" t="str">
        <f ca="1">IF((OFFSET($A$1, 138 - 1, 51 - 1)) &gt;= (OFFSET($A$1, 68 - 1, 7 - 1)), "1","0")</f>
        <v>0</v>
      </c>
      <c r="BB138">
        <f ca="1" xml:space="preserve"> IF( AND( OFFSET($A$1, 138 - 1, 52 - 1) = "1", OFFSET($A$1, 138 - 1, 53 - 1) = "1" ), 1, IF( AND( OFFSET($A$1, 138 - 1, 52 - 1) = "1", OFFSET($A$1, 138 - 1, 53 - 1) = "0" ), 2, IF( AND( OFFSET($A$1, 138 - 1, 52 - 1) = "0", OFFSET($A$1, 138 - 1, 53 - 1) = "1" ), 3, 4 ) ) )</f>
        <v>4</v>
      </c>
      <c r="BD138" s="7">
        <v>0.20117804359590838</v>
      </c>
      <c r="BE138" s="7" t="str">
        <f>"0"</f>
        <v>0</v>
      </c>
      <c r="BF138" t="str">
        <f ca="1">IF((OFFSET($A$1, 138 - 1, 56 - 1)) &gt;= (OFFSET($A$1, 92 - 1, 7 - 1)), "1","0")</f>
        <v>0</v>
      </c>
      <c r="BG138">
        <f ca="1" xml:space="preserve"> IF( AND( OFFSET($A$1, 138 - 1, 57 - 1) = "1", OFFSET($A$1, 138 - 1, 58 - 1) = "1" ), 1, IF( AND( OFFSET($A$1, 138 - 1, 57 - 1) = "1", OFFSET($A$1, 138 - 1, 58 - 1) = "0" ), 2, IF( AND( OFFSET($A$1, 138 - 1, 57 - 1) = "0", OFFSET($A$1, 138 - 1, 58 - 1) = "1" ), 3, 4 ) ) )</f>
        <v>4</v>
      </c>
    </row>
    <row r="139" spans="51:59" x14ac:dyDescent="0.25">
      <c r="AY139" s="7">
        <v>0.21580279613996525</v>
      </c>
      <c r="AZ139" s="7" t="str">
        <f>"0"</f>
        <v>0</v>
      </c>
      <c r="BA139" t="str">
        <f ca="1">IF((OFFSET($A$1, 139 - 1, 51 - 1)) &gt;= (OFFSET($A$1, 68 - 1, 7 - 1)), "1","0")</f>
        <v>0</v>
      </c>
      <c r="BB139">
        <f ca="1" xml:space="preserve"> IF( AND( OFFSET($A$1, 139 - 1, 52 - 1) = "1", OFFSET($A$1, 139 - 1, 53 - 1) = "1" ), 1, IF( AND( OFFSET($A$1, 139 - 1, 52 - 1) = "1", OFFSET($A$1, 139 - 1, 53 - 1) = "0" ), 2, IF( AND( OFFSET($A$1, 139 - 1, 52 - 1) = "0", OFFSET($A$1, 139 - 1, 53 - 1) = "1" ), 3, 4 ) ) )</f>
        <v>4</v>
      </c>
      <c r="BD139" s="7">
        <v>0.15671205196085616</v>
      </c>
      <c r="BE139" s="7" t="str">
        <f>"0"</f>
        <v>0</v>
      </c>
      <c r="BF139" t="str">
        <f ca="1">IF((OFFSET($A$1, 139 - 1, 56 - 1)) &gt;= (OFFSET($A$1, 92 - 1, 7 - 1)), "1","0")</f>
        <v>0</v>
      </c>
      <c r="BG139">
        <f ca="1" xml:space="preserve"> IF( AND( OFFSET($A$1, 139 - 1, 57 - 1) = "1", OFFSET($A$1, 139 - 1, 58 - 1) = "1" ), 1, IF( AND( OFFSET($A$1, 139 - 1, 57 - 1) = "1", OFFSET($A$1, 139 - 1, 58 - 1) = "0" ), 2, IF( AND( OFFSET($A$1, 139 - 1, 57 - 1) = "0", OFFSET($A$1, 139 - 1, 58 - 1) = "1" ), 3, 4 ) ) )</f>
        <v>4</v>
      </c>
    </row>
    <row r="140" spans="51:59" x14ac:dyDescent="0.25">
      <c r="AY140" s="7">
        <v>0.1991504722994584</v>
      </c>
      <c r="AZ140" s="7" t="str">
        <f>"0"</f>
        <v>0</v>
      </c>
      <c r="BA140" t="str">
        <f ca="1">IF((OFFSET($A$1, 140 - 1, 51 - 1)) &gt;= (OFFSET($A$1, 68 - 1, 7 - 1)), "1","0")</f>
        <v>0</v>
      </c>
      <c r="BB140">
        <f ca="1" xml:space="preserve"> IF( AND( OFFSET($A$1, 140 - 1, 52 - 1) = "1", OFFSET($A$1, 140 - 1, 53 - 1) = "1" ), 1, IF( AND( OFFSET($A$1, 140 - 1, 52 - 1) = "1", OFFSET($A$1, 140 - 1, 53 - 1) = "0" ), 2, IF( AND( OFFSET($A$1, 140 - 1, 52 - 1) = "0", OFFSET($A$1, 140 - 1, 53 - 1) = "1" ), 3, 4 ) ) )</f>
        <v>4</v>
      </c>
      <c r="BD140" s="7">
        <v>0.22339863816801717</v>
      </c>
      <c r="BE140" s="7" t="str">
        <f>"1"</f>
        <v>1</v>
      </c>
      <c r="BF140" t="str">
        <f ca="1">IF((OFFSET($A$1, 140 - 1, 56 - 1)) &gt;= (OFFSET($A$1, 92 - 1, 7 - 1)), "1","0")</f>
        <v>0</v>
      </c>
      <c r="BG140">
        <f ca="1" xml:space="preserve"> IF( AND( OFFSET($A$1, 140 - 1, 57 - 1) = "1", OFFSET($A$1, 140 - 1, 58 - 1) = "1" ), 1, IF( AND( OFFSET($A$1, 140 - 1, 57 - 1) = "1", OFFSET($A$1, 140 - 1, 58 - 1) = "0" ), 2, IF( AND( OFFSET($A$1, 140 - 1, 57 - 1) = "0", OFFSET($A$1, 140 - 1, 58 - 1) = "1" ), 3, 4 ) ) )</f>
        <v>2</v>
      </c>
    </row>
    <row r="141" spans="51:59" x14ac:dyDescent="0.25">
      <c r="AY141" s="7">
        <v>0.2691362121211332</v>
      </c>
      <c r="AZ141" s="7" t="str">
        <f>"0"</f>
        <v>0</v>
      </c>
      <c r="BA141" t="str">
        <f ca="1">IF((OFFSET($A$1, 141 - 1, 51 - 1)) &gt;= (OFFSET($A$1, 68 - 1, 7 - 1)), "1","0")</f>
        <v>0</v>
      </c>
      <c r="BB141">
        <f ca="1" xml:space="preserve"> IF( AND( OFFSET($A$1, 141 - 1, 52 - 1) = "1", OFFSET($A$1, 141 - 1, 53 - 1) = "1" ), 1, IF( AND( OFFSET($A$1, 141 - 1, 52 - 1) = "1", OFFSET($A$1, 141 - 1, 53 - 1) = "0" ), 2, IF( AND( OFFSET($A$1, 141 - 1, 52 - 1) = "0", OFFSET($A$1, 141 - 1, 53 - 1) = "1" ), 3, 4 ) ) )</f>
        <v>4</v>
      </c>
      <c r="BD141" s="7">
        <v>0.21049287747773748</v>
      </c>
      <c r="BE141" s="7" t="str">
        <f>"0"</f>
        <v>0</v>
      </c>
      <c r="BF141" t="str">
        <f ca="1">IF((OFFSET($A$1, 141 - 1, 56 - 1)) &gt;= (OFFSET($A$1, 92 - 1, 7 - 1)), "1","0")</f>
        <v>0</v>
      </c>
      <c r="BG141">
        <f ca="1" xml:space="preserve"> IF( AND( OFFSET($A$1, 141 - 1, 57 - 1) = "1", OFFSET($A$1, 141 - 1, 58 - 1) = "1" ), 1, IF( AND( OFFSET($A$1, 141 - 1, 57 - 1) = "1", OFFSET($A$1, 141 - 1, 58 - 1) = "0" ), 2, IF( AND( OFFSET($A$1, 141 - 1, 57 - 1) = "0", OFFSET($A$1, 141 - 1, 58 - 1) = "1" ), 3, 4 ) ) )</f>
        <v>4</v>
      </c>
    </row>
    <row r="142" spans="51:59" x14ac:dyDescent="0.25">
      <c r="AY142" s="7">
        <v>0.21049287747773754</v>
      </c>
      <c r="AZ142" s="7" t="str">
        <f>"1"</f>
        <v>1</v>
      </c>
      <c r="BA142" t="str">
        <f ca="1">IF((OFFSET($A$1, 142 - 1, 51 - 1)) &gt;= (OFFSET($A$1, 68 - 1, 7 - 1)), "1","0")</f>
        <v>0</v>
      </c>
      <c r="BB142">
        <f ca="1" xml:space="preserve"> IF( AND( OFFSET($A$1, 142 - 1, 52 - 1) = "1", OFFSET($A$1, 142 - 1, 53 - 1) = "1" ), 1, IF( AND( OFFSET($A$1, 142 - 1, 52 - 1) = "1", OFFSET($A$1, 142 - 1, 53 - 1) = "0" ), 2, IF( AND( OFFSET($A$1, 142 - 1, 52 - 1) = "0", OFFSET($A$1, 142 - 1, 53 - 1) = "1" ), 3, 4 ) ) )</f>
        <v>2</v>
      </c>
      <c r="BD142" s="7">
        <v>0.17327608298152103</v>
      </c>
      <c r="BE142" s="7" t="str">
        <f>"0"</f>
        <v>0</v>
      </c>
      <c r="BF142" t="str">
        <f ca="1">IF((OFFSET($A$1, 142 - 1, 56 - 1)) &gt;= (OFFSET($A$1, 92 - 1, 7 - 1)), "1","0")</f>
        <v>0</v>
      </c>
      <c r="BG142">
        <f ca="1" xml:space="preserve"> IF( AND( OFFSET($A$1, 142 - 1, 57 - 1) = "1", OFFSET($A$1, 142 - 1, 58 - 1) = "1" ), 1, IF( AND( OFFSET($A$1, 142 - 1, 57 - 1) = "1", OFFSET($A$1, 142 - 1, 58 - 1) = "0" ), 2, IF( AND( OFFSET($A$1, 142 - 1, 57 - 1) = "0", OFFSET($A$1, 142 - 1, 58 - 1) = "1" ), 3, 4 ) ) )</f>
        <v>4</v>
      </c>
    </row>
    <row r="143" spans="51:59" x14ac:dyDescent="0.25">
      <c r="AY143" s="7">
        <v>0.14692990577614271</v>
      </c>
      <c r="AZ143" s="7" t="str">
        <f>"0"</f>
        <v>0</v>
      </c>
      <c r="BA143" t="str">
        <f ca="1">IF((OFFSET($A$1, 143 - 1, 51 - 1)) &gt;= (OFFSET($A$1, 68 - 1, 7 - 1)), "1","0")</f>
        <v>0</v>
      </c>
      <c r="BB143">
        <f ca="1" xml:space="preserve"> IF( AND( OFFSET($A$1, 143 - 1, 52 - 1) = "1", OFFSET($A$1, 143 - 1, 53 - 1) = "1" ), 1, IF( AND( OFFSET($A$1, 143 - 1, 52 - 1) = "1", OFFSET($A$1, 143 - 1, 53 - 1) = "0" ), 2, IF( AND( OFFSET($A$1, 143 - 1, 52 - 1) = "0", OFFSET($A$1, 143 - 1, 53 - 1) = "1" ), 3, 4 ) ) )</f>
        <v>4</v>
      </c>
      <c r="BD143" s="7">
        <v>0.23344165564113931</v>
      </c>
      <c r="BE143" s="7" t="str">
        <f>"0"</f>
        <v>0</v>
      </c>
      <c r="BF143" t="str">
        <f ca="1">IF((OFFSET($A$1, 143 - 1, 56 - 1)) &gt;= (OFFSET($A$1, 92 - 1, 7 - 1)), "1","0")</f>
        <v>0</v>
      </c>
      <c r="BG143">
        <f ca="1" xml:space="preserve"> IF( AND( OFFSET($A$1, 143 - 1, 57 - 1) = "1", OFFSET($A$1, 143 - 1, 58 - 1) = "1" ), 1, IF( AND( OFFSET($A$1, 143 - 1, 57 - 1) = "1", OFFSET($A$1, 143 - 1, 58 - 1) = "0" ), 2, IF( AND( OFFSET($A$1, 143 - 1, 57 - 1) = "0", OFFSET($A$1, 143 - 1, 58 - 1) = "1" ), 3, 4 ) ) )</f>
        <v>4</v>
      </c>
    </row>
    <row r="144" spans="51:59" x14ac:dyDescent="0.25">
      <c r="AY144" s="7">
        <v>0.15175627231254518</v>
      </c>
      <c r="AZ144" s="7" t="str">
        <f>"0"</f>
        <v>0</v>
      </c>
      <c r="BA144" t="str">
        <f ca="1">IF((OFFSET($A$1, 144 - 1, 51 - 1)) &gt;= (OFFSET($A$1, 68 - 1, 7 - 1)), "1","0")</f>
        <v>0</v>
      </c>
      <c r="BB144">
        <f ca="1" xml:space="preserve"> IF( AND( OFFSET($A$1, 144 - 1, 52 - 1) = "1", OFFSET($A$1, 144 - 1, 53 - 1) = "1" ), 1, IF( AND( OFFSET($A$1, 144 - 1, 52 - 1) = "1", OFFSET($A$1, 144 - 1, 53 - 1) = "0" ), 2, IF( AND( OFFSET($A$1, 144 - 1, 52 - 1) = "0", OFFSET($A$1, 144 - 1, 53 - 1) = "1" ), 3, 4 ) ) )</f>
        <v>4</v>
      </c>
      <c r="BD144" s="7">
        <v>0.24731369849749185</v>
      </c>
      <c r="BE144" s="7" t="str">
        <f>"0"</f>
        <v>0</v>
      </c>
      <c r="BF144" t="str">
        <f ca="1">IF((OFFSET($A$1, 144 - 1, 56 - 1)) &gt;= (OFFSET($A$1, 92 - 1, 7 - 1)), "1","0")</f>
        <v>0</v>
      </c>
      <c r="BG144">
        <f ca="1" xml:space="preserve"> IF( AND( OFFSET($A$1, 144 - 1, 57 - 1) = "1", OFFSET($A$1, 144 - 1, 58 - 1) = "1" ), 1, IF( AND( OFFSET($A$1, 144 - 1, 57 - 1) = "1", OFFSET($A$1, 144 - 1, 58 - 1) = "0" ), 2, IF( AND( OFFSET($A$1, 144 - 1, 57 - 1) = "0", OFFSET($A$1, 144 - 1, 58 - 1) = "1" ), 3, 4 ) ) )</f>
        <v>4</v>
      </c>
    </row>
    <row r="145" spans="51:59" x14ac:dyDescent="0.25">
      <c r="AY145" s="7">
        <v>0.18538744712211713</v>
      </c>
      <c r="AZ145" s="7" t="str">
        <f>"1"</f>
        <v>1</v>
      </c>
      <c r="BA145" t="str">
        <f ca="1">IF((OFFSET($A$1, 145 - 1, 51 - 1)) &gt;= (OFFSET($A$1, 68 - 1, 7 - 1)), "1","0")</f>
        <v>0</v>
      </c>
      <c r="BB145">
        <f ca="1" xml:space="preserve"> IF( AND( OFFSET($A$1, 145 - 1, 52 - 1) = "1", OFFSET($A$1, 145 - 1, 53 - 1) = "1" ), 1, IF( AND( OFFSET($A$1, 145 - 1, 52 - 1) = "1", OFFSET($A$1, 145 - 1, 53 - 1) = "0" ), 2, IF( AND( OFFSET($A$1, 145 - 1, 52 - 1) = "0", OFFSET($A$1, 145 - 1, 53 - 1) = "1" ), 3, 4 ) ) )</f>
        <v>2</v>
      </c>
      <c r="BD145" s="7">
        <v>0.18348246690899619</v>
      </c>
      <c r="BE145" s="7" t="str">
        <f>"0"</f>
        <v>0</v>
      </c>
      <c r="BF145" t="str">
        <f ca="1">IF((OFFSET($A$1, 145 - 1, 56 - 1)) &gt;= (OFFSET($A$1, 92 - 1, 7 - 1)), "1","0")</f>
        <v>0</v>
      </c>
      <c r="BG145">
        <f ca="1" xml:space="preserve"> IF( AND( OFFSET($A$1, 145 - 1, 57 - 1) = "1", OFFSET($A$1, 145 - 1, 58 - 1) = "1" ), 1, IF( AND( OFFSET($A$1, 145 - 1, 57 - 1) = "1", OFFSET($A$1, 145 - 1, 58 - 1) = "0" ), 2, IF( AND( OFFSET($A$1, 145 - 1, 57 - 1) = "0", OFFSET($A$1, 145 - 1, 58 - 1) = "1" ), 3, 4 ) ) )</f>
        <v>4</v>
      </c>
    </row>
    <row r="146" spans="51:59" x14ac:dyDescent="0.25">
      <c r="AY146" s="7">
        <v>0.18538744712211708</v>
      </c>
      <c r="AZ146" s="7" t="str">
        <f>"0"</f>
        <v>0</v>
      </c>
      <c r="BA146" t="str">
        <f ca="1">IF((OFFSET($A$1, 146 - 1, 51 - 1)) &gt;= (OFFSET($A$1, 68 - 1, 7 - 1)), "1","0")</f>
        <v>0</v>
      </c>
      <c r="BB146">
        <f ca="1" xml:space="preserve"> IF( AND( OFFSET($A$1, 146 - 1, 52 - 1) = "1", OFFSET($A$1, 146 - 1, 53 - 1) = "1" ), 1, IF( AND( OFFSET($A$1, 146 - 1, 52 - 1) = "1", OFFSET($A$1, 146 - 1, 53 - 1) = "0" ), 2, IF( AND( OFFSET($A$1, 146 - 1, 52 - 1) = "0", OFFSET($A$1, 146 - 1, 53 - 1) = "1" ), 3, 4 ) ) )</f>
        <v>4</v>
      </c>
      <c r="BD146" s="7">
        <v>0.1951414900904731</v>
      </c>
      <c r="BE146" s="7" t="str">
        <f>"1"</f>
        <v>1</v>
      </c>
      <c r="BF146" t="str">
        <f ca="1">IF((OFFSET($A$1, 146 - 1, 56 - 1)) &gt;= (OFFSET($A$1, 92 - 1, 7 - 1)), "1","0")</f>
        <v>0</v>
      </c>
      <c r="BG146">
        <f ca="1" xml:space="preserve"> IF( AND( OFFSET($A$1, 146 - 1, 57 - 1) = "1", OFFSET($A$1, 146 - 1, 58 - 1) = "1" ), 1, IF( AND( OFFSET($A$1, 146 - 1, 57 - 1) = "1", OFFSET($A$1, 146 - 1, 58 - 1) = "0" ), 2, IF( AND( OFFSET($A$1, 146 - 1, 57 - 1) = "0", OFFSET($A$1, 146 - 1, 58 - 1) = "1" ), 3, 4 ) ) )</f>
        <v>2</v>
      </c>
    </row>
    <row r="147" spans="51:59" x14ac:dyDescent="0.25">
      <c r="AY147" s="7">
        <v>0.2691362121211332</v>
      </c>
      <c r="AZ147" s="7" t="str">
        <f>"0"</f>
        <v>0</v>
      </c>
      <c r="BA147" t="str">
        <f ca="1">IF((OFFSET($A$1, 147 - 1, 51 - 1)) &gt;= (OFFSET($A$1, 68 - 1, 7 - 1)), "1","0")</f>
        <v>0</v>
      </c>
      <c r="BB147">
        <f ca="1" xml:space="preserve"> IF( AND( OFFSET($A$1, 147 - 1, 52 - 1) = "1", OFFSET($A$1, 147 - 1, 53 - 1) = "1" ), 1, IF( AND( OFFSET($A$1, 147 - 1, 52 - 1) = "1", OFFSET($A$1, 147 - 1, 53 - 1) = "0" ), 2, IF( AND( OFFSET($A$1, 147 - 1, 52 - 1) = "0", OFFSET($A$1, 147 - 1, 53 - 1) = "1" ), 3, 4 ) ) )</f>
        <v>4</v>
      </c>
      <c r="BD147" s="7">
        <v>0.22230196043449058</v>
      </c>
      <c r="BE147" s="7" t="str">
        <f>"0"</f>
        <v>0</v>
      </c>
      <c r="BF147" t="str">
        <f ca="1">IF((OFFSET($A$1, 147 - 1, 56 - 1)) &gt;= (OFFSET($A$1, 92 - 1, 7 - 1)), "1","0")</f>
        <v>0</v>
      </c>
      <c r="BG147">
        <f ca="1" xml:space="preserve"> IF( AND( OFFSET($A$1, 147 - 1, 57 - 1) = "1", OFFSET($A$1, 147 - 1, 58 - 1) = "1" ), 1, IF( AND( OFFSET($A$1, 147 - 1, 57 - 1) = "1", OFFSET($A$1, 147 - 1, 58 - 1) = "0" ), 2, IF( AND( OFFSET($A$1, 147 - 1, 57 - 1) = "0", OFFSET($A$1, 147 - 1, 58 - 1) = "1" ), 3, 4 ) ) )</f>
        <v>4</v>
      </c>
    </row>
    <row r="148" spans="51:59" x14ac:dyDescent="0.25">
      <c r="AY148" s="7">
        <v>0.25807455694098486</v>
      </c>
      <c r="AZ148" s="7" t="str">
        <f>"0"</f>
        <v>0</v>
      </c>
      <c r="BA148" t="str">
        <f ca="1">IF((OFFSET($A$1, 148 - 1, 51 - 1)) &gt;= (OFFSET($A$1, 68 - 1, 7 - 1)), "1","0")</f>
        <v>0</v>
      </c>
      <c r="BB148">
        <f ca="1" xml:space="preserve"> IF( AND( OFFSET($A$1, 148 - 1, 52 - 1) = "1", OFFSET($A$1, 148 - 1, 53 - 1) = "1" ), 1, IF( AND( OFFSET($A$1, 148 - 1, 52 - 1) = "1", OFFSET($A$1, 148 - 1, 53 - 1) = "0" ), 2, IF( AND( OFFSET($A$1, 148 - 1, 52 - 1) = "0", OFFSET($A$1, 148 - 1, 53 - 1) = "1" ), 3, 4 ) ) )</f>
        <v>4</v>
      </c>
      <c r="BD148" s="7">
        <v>0.24146718041552676</v>
      </c>
      <c r="BE148" s="7" t="str">
        <f>"0"</f>
        <v>0</v>
      </c>
      <c r="BF148" t="str">
        <f ca="1">IF((OFFSET($A$1, 148 - 1, 56 - 1)) &gt;= (OFFSET($A$1, 92 - 1, 7 - 1)), "1","0")</f>
        <v>0</v>
      </c>
      <c r="BG148">
        <f ca="1" xml:space="preserve"> IF( AND( OFFSET($A$1, 148 - 1, 57 - 1) = "1", OFFSET($A$1, 148 - 1, 58 - 1) = "1" ), 1, IF( AND( OFFSET($A$1, 148 - 1, 57 - 1) = "1", OFFSET($A$1, 148 - 1, 58 - 1) = "0" ), 2, IF( AND( OFFSET($A$1, 148 - 1, 57 - 1) = "0", OFFSET($A$1, 148 - 1, 58 - 1) = "1" ), 3, 4 ) ) )</f>
        <v>4</v>
      </c>
    </row>
    <row r="149" spans="51:59" x14ac:dyDescent="0.25">
      <c r="AY149" s="7">
        <v>0.1991504722994584</v>
      </c>
      <c r="AZ149" s="7" t="str">
        <f>"0"</f>
        <v>0</v>
      </c>
      <c r="BA149" t="str">
        <f ca="1">IF((OFFSET($A$1, 149 - 1, 51 - 1)) &gt;= (OFFSET($A$1, 68 - 1, 7 - 1)), "1","0")</f>
        <v>0</v>
      </c>
      <c r="BB149">
        <f ca="1" xml:space="preserve"> IF( AND( OFFSET($A$1, 149 - 1, 52 - 1) = "1", OFFSET($A$1, 149 - 1, 53 - 1) = "1" ), 1, IF( AND( OFFSET($A$1, 149 - 1, 52 - 1) = "1", OFFSET($A$1, 149 - 1, 53 - 1) = "0" ), 2, IF( AND( OFFSET($A$1, 149 - 1, 52 - 1) = "0", OFFSET($A$1, 149 - 1, 53 - 1) = "1" ), 3, 4 ) ) )</f>
        <v>4</v>
      </c>
      <c r="BD149" s="7">
        <v>0.15175627231254518</v>
      </c>
      <c r="BE149" s="7" t="str">
        <f>"0"</f>
        <v>0</v>
      </c>
      <c r="BF149" t="str">
        <f ca="1">IF((OFFSET($A$1, 149 - 1, 56 - 1)) &gt;= (OFFSET($A$1, 92 - 1, 7 - 1)), "1","0")</f>
        <v>0</v>
      </c>
      <c r="BG149">
        <f ca="1" xml:space="preserve"> IF( AND( OFFSET($A$1, 149 - 1, 57 - 1) = "1", OFFSET($A$1, 149 - 1, 58 - 1) = "1" ), 1, IF( AND( OFFSET($A$1, 149 - 1, 57 - 1) = "1", OFFSET($A$1, 149 - 1, 58 - 1) = "0" ), 2, IF( AND( OFFSET($A$1, 149 - 1, 57 - 1) = "0", OFFSET($A$1, 149 - 1, 58 - 1) = "1" ), 3, 4 ) ) )</f>
        <v>4</v>
      </c>
    </row>
    <row r="150" spans="51:59" x14ac:dyDescent="0.25">
      <c r="AY150" s="7">
        <v>0.25928887273763362</v>
      </c>
      <c r="AZ150" s="7" t="str">
        <f>"0"</f>
        <v>0</v>
      </c>
      <c r="BA150" t="str">
        <f ca="1">IF((OFFSET($A$1, 150 - 1, 51 - 1)) &gt;= (OFFSET($A$1, 68 - 1, 7 - 1)), "1","0")</f>
        <v>0</v>
      </c>
      <c r="BB150">
        <f ca="1" xml:space="preserve"> IF( AND( OFFSET($A$1, 150 - 1, 52 - 1) = "1", OFFSET($A$1, 150 - 1, 53 - 1) = "1" ), 1, IF( AND( OFFSET($A$1, 150 - 1, 52 - 1) = "1", OFFSET($A$1, 150 - 1, 53 - 1) = "0" ), 2, IF( AND( OFFSET($A$1, 150 - 1, 52 - 1) = "0", OFFSET($A$1, 150 - 1, 53 - 1) = "1" ), 3, 4 ) ) )</f>
        <v>4</v>
      </c>
      <c r="BD150" s="7">
        <v>0.23457671248419984</v>
      </c>
      <c r="BE150" s="7" t="str">
        <f>"0"</f>
        <v>0</v>
      </c>
      <c r="BF150" t="str">
        <f ca="1">IF((OFFSET($A$1, 150 - 1, 56 - 1)) &gt;= (OFFSET($A$1, 92 - 1, 7 - 1)), "1","0")</f>
        <v>0</v>
      </c>
      <c r="BG150">
        <f ca="1" xml:space="preserve"> IF( AND( OFFSET($A$1, 150 - 1, 57 - 1) = "1", OFFSET($A$1, 150 - 1, 58 - 1) = "1" ), 1, IF( AND( OFFSET($A$1, 150 - 1, 57 - 1) = "1", OFFSET($A$1, 150 - 1, 58 - 1) = "0" ), 2, IF( AND( OFFSET($A$1, 150 - 1, 57 - 1) = "0", OFFSET($A$1, 150 - 1, 58 - 1) = "1" ), 3, 4 ) ) )</f>
        <v>4</v>
      </c>
    </row>
    <row r="151" spans="51:59" x14ac:dyDescent="0.25">
      <c r="AY151" s="7">
        <v>0.23344165564113931</v>
      </c>
      <c r="AZ151" s="7" t="str">
        <f>"0"</f>
        <v>0</v>
      </c>
      <c r="BA151" t="str">
        <f ca="1">IF((OFFSET($A$1, 151 - 1, 51 - 1)) &gt;= (OFFSET($A$1, 68 - 1, 7 - 1)), "1","0")</f>
        <v>0</v>
      </c>
      <c r="BB151">
        <f ca="1" xml:space="preserve"> IF( AND( OFFSET($A$1, 151 - 1, 52 - 1) = "1", OFFSET($A$1, 151 - 1, 53 - 1) = "1" ), 1, IF( AND( OFFSET($A$1, 151 - 1, 52 - 1) = "1", OFFSET($A$1, 151 - 1, 53 - 1) = "0" ), 2, IF( AND( OFFSET($A$1, 151 - 1, 52 - 1) = "0", OFFSET($A$1, 151 - 1, 53 - 1) = "1" ), 3, 4 ) ) )</f>
        <v>4</v>
      </c>
      <c r="BD151" s="7">
        <v>0.27288928854661604</v>
      </c>
      <c r="BE151" s="7" t="str">
        <f>"0"</f>
        <v>0</v>
      </c>
      <c r="BF151" t="str">
        <f ca="1">IF((OFFSET($A$1, 151 - 1, 56 - 1)) &gt;= (OFFSET($A$1, 92 - 1, 7 - 1)), "1","0")</f>
        <v>0</v>
      </c>
      <c r="BG151">
        <f ca="1" xml:space="preserve"> IF( AND( OFFSET($A$1, 151 - 1, 57 - 1) = "1", OFFSET($A$1, 151 - 1, 58 - 1) = "1" ), 1, IF( AND( OFFSET($A$1, 151 - 1, 57 - 1) = "1", OFFSET($A$1, 151 - 1, 58 - 1) = "0" ), 2, IF( AND( OFFSET($A$1, 151 - 1, 57 - 1) = "0", OFFSET($A$1, 151 - 1, 58 - 1) = "1" ), 3, 4 ) ) )</f>
        <v>4</v>
      </c>
    </row>
    <row r="152" spans="51:59" x14ac:dyDescent="0.25">
      <c r="AY152" s="7">
        <v>0.19021663773395503</v>
      </c>
      <c r="AZ152" s="7" t="str">
        <f>"0"</f>
        <v>0</v>
      </c>
      <c r="BA152" t="str">
        <f ca="1">IF((OFFSET($A$1, 152 - 1, 51 - 1)) &gt;= (OFFSET($A$1, 68 - 1, 7 - 1)), "1","0")</f>
        <v>0</v>
      </c>
      <c r="BB152">
        <f ca="1" xml:space="preserve"> IF( AND( OFFSET($A$1, 152 - 1, 52 - 1) = "1", OFFSET($A$1, 152 - 1, 53 - 1) = "1" ), 1, IF( AND( OFFSET($A$1, 152 - 1, 52 - 1) = "1", OFFSET($A$1, 152 - 1, 53 - 1) = "0" ), 2, IF( AND( OFFSET($A$1, 152 - 1, 52 - 1) = "0", OFFSET($A$1, 152 - 1, 53 - 1) = "1" ), 3, 4 ) ) )</f>
        <v>4</v>
      </c>
      <c r="BD152" s="7">
        <v>0.14378341048428475</v>
      </c>
      <c r="BE152" s="7" t="str">
        <f>"1"</f>
        <v>1</v>
      </c>
      <c r="BF152" t="str">
        <f ca="1">IF((OFFSET($A$1, 152 - 1, 56 - 1)) &gt;= (OFFSET($A$1, 92 - 1, 7 - 1)), "1","0")</f>
        <v>0</v>
      </c>
      <c r="BG152">
        <f ca="1" xml:space="preserve"> IF( AND( OFFSET($A$1, 152 - 1, 57 - 1) = "1", OFFSET($A$1, 152 - 1, 58 - 1) = "1" ), 1, IF( AND( OFFSET($A$1, 152 - 1, 57 - 1) = "1", OFFSET($A$1, 152 - 1, 58 - 1) = "0" ), 2, IF( AND( OFFSET($A$1, 152 - 1, 57 - 1) = "0", OFFSET($A$1, 152 - 1, 58 - 1) = "1" ), 3, 4 ) ) )</f>
        <v>2</v>
      </c>
    </row>
    <row r="153" spans="51:59" x14ac:dyDescent="0.25">
      <c r="AY153" s="7">
        <v>0.1991504722994584</v>
      </c>
      <c r="AZ153" s="7" t="str">
        <f>"1"</f>
        <v>1</v>
      </c>
      <c r="BA153" t="str">
        <f ca="1">IF((OFFSET($A$1, 153 - 1, 51 - 1)) &gt;= (OFFSET($A$1, 68 - 1, 7 - 1)), "1","0")</f>
        <v>0</v>
      </c>
      <c r="BB153">
        <f ca="1" xml:space="preserve"> IF( AND( OFFSET($A$1, 153 - 1, 52 - 1) = "1", OFFSET($A$1, 153 - 1, 53 - 1) = "1" ), 1, IF( AND( OFFSET($A$1, 153 - 1, 52 - 1) = "1", OFFSET($A$1, 153 - 1, 53 - 1) = "0" ), 2, IF( AND( OFFSET($A$1, 153 - 1, 52 - 1) = "0", OFFSET($A$1, 153 - 1, 53 - 1) = "1" ), 3, 4 ) ) )</f>
        <v>2</v>
      </c>
      <c r="BD153" s="7">
        <v>0.17601433243372858</v>
      </c>
      <c r="BE153" s="7" t="str">
        <f>"0"</f>
        <v>0</v>
      </c>
      <c r="BF153" t="str">
        <f ca="1">IF((OFFSET($A$1, 153 - 1, 56 - 1)) &gt;= (OFFSET($A$1, 92 - 1, 7 - 1)), "1","0")</f>
        <v>0</v>
      </c>
      <c r="BG153">
        <f ca="1" xml:space="preserve"> IF( AND( OFFSET($A$1, 153 - 1, 57 - 1) = "1", OFFSET($A$1, 153 - 1, 58 - 1) = "1" ), 1, IF( AND( OFFSET($A$1, 153 - 1, 57 - 1) = "1", OFFSET($A$1, 153 - 1, 58 - 1) = "0" ), 2, IF( AND( OFFSET($A$1, 153 - 1, 57 - 1) = "0", OFFSET($A$1, 153 - 1, 58 - 1) = "1" ), 3, 4 ) ) )</f>
        <v>4</v>
      </c>
    </row>
    <row r="154" spans="51:59" x14ac:dyDescent="0.25">
      <c r="AY154" s="7">
        <v>0.16179879875698946</v>
      </c>
      <c r="AZ154" s="7" t="str">
        <f>"0"</f>
        <v>0</v>
      </c>
      <c r="BA154" t="str">
        <f ca="1">IF((OFFSET($A$1, 154 - 1, 51 - 1)) &gt;= (OFFSET($A$1, 68 - 1, 7 - 1)), "1","0")</f>
        <v>0</v>
      </c>
      <c r="BB154">
        <f ca="1" xml:space="preserve"> IF( AND( OFFSET($A$1, 154 - 1, 52 - 1) = "1", OFFSET($A$1, 154 - 1, 53 - 1) = "1" ), 1, IF( AND( OFFSET($A$1, 154 - 1, 52 - 1) = "1", OFFSET($A$1, 154 - 1, 53 - 1) = "0" ), 2, IF( AND( OFFSET($A$1, 154 - 1, 52 - 1) = "0", OFFSET($A$1, 154 - 1, 53 - 1) = "1" ), 3, 4 ) ) )</f>
        <v>4</v>
      </c>
      <c r="BD154" s="7">
        <v>0.19713829282085699</v>
      </c>
      <c r="BE154" s="7" t="str">
        <f>"1"</f>
        <v>1</v>
      </c>
      <c r="BF154" t="str">
        <f ca="1">IF((OFFSET($A$1, 154 - 1, 56 - 1)) &gt;= (OFFSET($A$1, 92 - 1, 7 - 1)), "1","0")</f>
        <v>0</v>
      </c>
      <c r="BG154">
        <f ca="1" xml:space="preserve"> IF( AND( OFFSET($A$1, 154 - 1, 57 - 1) = "1", OFFSET($A$1, 154 - 1, 58 - 1) = "1" ), 1, IF( AND( OFFSET($A$1, 154 - 1, 57 - 1) = "1", OFFSET($A$1, 154 - 1, 58 - 1) = "0" ), 2, IF( AND( OFFSET($A$1, 154 - 1, 57 - 1) = "0", OFFSET($A$1, 154 - 1, 58 - 1) = "1" ), 3, 4 ) ) )</f>
        <v>2</v>
      </c>
    </row>
    <row r="155" spans="51:59" x14ac:dyDescent="0.25">
      <c r="AY155" s="7">
        <v>0.21260527042554705</v>
      </c>
      <c r="AZ155" s="7" t="str">
        <f>"0"</f>
        <v>0</v>
      </c>
      <c r="BA155" t="str">
        <f ca="1">IF((OFFSET($A$1, 155 - 1, 51 - 1)) &gt;= (OFFSET($A$1, 68 - 1, 7 - 1)), "1","0")</f>
        <v>0</v>
      </c>
      <c r="BB155">
        <f ca="1" xml:space="preserve"> IF( AND( OFFSET($A$1, 155 - 1, 52 - 1) = "1", OFFSET($A$1, 155 - 1, 53 - 1) = "1" ), 1, IF( AND( OFFSET($A$1, 155 - 1, 52 - 1) = "1", OFFSET($A$1, 155 - 1, 53 - 1) = "0" ), 2, IF( AND( OFFSET($A$1, 155 - 1, 52 - 1) = "0", OFFSET($A$1, 155 - 1, 53 - 1) = "1" ), 3, 4 ) ) )</f>
        <v>4</v>
      </c>
      <c r="BD155" s="7">
        <v>0.2391551216803047</v>
      </c>
      <c r="BE155" s="7" t="str">
        <f>"0"</f>
        <v>0</v>
      </c>
      <c r="BF155" t="str">
        <f ca="1">IF((OFFSET($A$1, 155 - 1, 56 - 1)) &gt;= (OFFSET($A$1, 92 - 1, 7 - 1)), "1","0")</f>
        <v>0</v>
      </c>
      <c r="BG155">
        <f ca="1" xml:space="preserve"> IF( AND( OFFSET($A$1, 155 - 1, 57 - 1) = "1", OFFSET($A$1, 155 - 1, 58 - 1) = "1" ), 1, IF( AND( OFFSET($A$1, 155 - 1, 57 - 1) = "1", OFFSET($A$1, 155 - 1, 58 - 1) = "0" ), 2, IF( AND( OFFSET($A$1, 155 - 1, 57 - 1) = "0", OFFSET($A$1, 155 - 1, 58 - 1) = "1" ), 3, 4 ) ) )</f>
        <v>4</v>
      </c>
    </row>
    <row r="156" spans="51:59" x14ac:dyDescent="0.25">
      <c r="AY156" s="7">
        <v>0.26665235467082504</v>
      </c>
      <c r="AZ156" s="7" t="str">
        <f>"0"</f>
        <v>0</v>
      </c>
      <c r="BA156" t="str">
        <f ca="1">IF((OFFSET($A$1, 156 - 1, 51 - 1)) &gt;= (OFFSET($A$1, 68 - 1, 7 - 1)), "1","0")</f>
        <v>0</v>
      </c>
      <c r="BB156">
        <f ca="1" xml:space="preserve"> IF( AND( OFFSET($A$1, 156 - 1, 52 - 1) = "1", OFFSET($A$1, 156 - 1, 53 - 1) = "1" ), 1, IF( AND( OFFSET($A$1, 156 - 1, 52 - 1) = "1", OFFSET($A$1, 156 - 1, 53 - 1) = "0" ), 2, IF( AND( OFFSET($A$1, 156 - 1, 52 - 1) = "0", OFFSET($A$1, 156 - 1, 53 - 1) = "1" ), 3, 4 ) ) )</f>
        <v>4</v>
      </c>
      <c r="BD156" s="7">
        <v>0.28049274582451672</v>
      </c>
      <c r="BE156" s="7" t="str">
        <f>"0"</f>
        <v>0</v>
      </c>
      <c r="BF156" t="str">
        <f ca="1">IF((OFFSET($A$1, 156 - 1, 56 - 1)) &gt;= (OFFSET($A$1, 92 - 1, 7 - 1)), "1","0")</f>
        <v>0</v>
      </c>
      <c r="BG156">
        <f ca="1" xml:space="preserve"> IF( AND( OFFSET($A$1, 156 - 1, 57 - 1) = "1", OFFSET($A$1, 156 - 1, 58 - 1) = "1" ), 1, IF( AND( OFFSET($A$1, 156 - 1, 57 - 1) = "1", OFFSET($A$1, 156 - 1, 58 - 1) = "0" ), 2, IF( AND( OFFSET($A$1, 156 - 1, 57 - 1) = "0", OFFSET($A$1, 156 - 1, 58 - 1) = "1" ), 3, 4 ) ) )</f>
        <v>4</v>
      </c>
    </row>
    <row r="157" spans="51:59" x14ac:dyDescent="0.25">
      <c r="AY157" s="7">
        <v>0.27414755442294014</v>
      </c>
      <c r="AZ157" s="7" t="str">
        <f>"0"</f>
        <v>0</v>
      </c>
      <c r="BA157" t="str">
        <f ca="1">IF((OFFSET($A$1, 157 - 1, 51 - 1)) &gt;= (OFFSET($A$1, 68 - 1, 7 - 1)), "1","0")</f>
        <v>0</v>
      </c>
      <c r="BB157">
        <f ca="1" xml:space="preserve"> IF( AND( OFFSET($A$1, 157 - 1, 52 - 1) = "1", OFFSET($A$1, 157 - 1, 53 - 1) = "1" ), 1, IF( AND( OFFSET($A$1, 157 - 1, 52 - 1) = "1", OFFSET($A$1, 157 - 1, 53 - 1) = "0" ), 2, IF( AND( OFFSET($A$1, 157 - 1, 52 - 1) = "0", OFFSET($A$1, 157 - 1, 53 - 1) = "1" ), 3, 4 ) ) )</f>
        <v>4</v>
      </c>
      <c r="BD157" s="7">
        <v>0.12888410998142671</v>
      </c>
      <c r="BE157" s="7" t="str">
        <f>"0"</f>
        <v>0</v>
      </c>
      <c r="BF157" t="str">
        <f ca="1">IF((OFFSET($A$1, 157 - 1, 56 - 1)) &gt;= (OFFSET($A$1, 92 - 1, 7 - 1)), "1","0")</f>
        <v>0</v>
      </c>
      <c r="BG157">
        <f ca="1" xml:space="preserve"> IF( AND( OFFSET($A$1, 157 - 1, 57 - 1) = "1", OFFSET($A$1, 157 - 1, 58 - 1) = "1" ), 1, IF( AND( OFFSET($A$1, 157 - 1, 57 - 1) = "1", OFFSET($A$1, 157 - 1, 58 - 1) = "0" ), 2, IF( AND( OFFSET($A$1, 157 - 1, 57 - 1) = "0", OFFSET($A$1, 157 - 1, 58 - 1) = "1" ), 3, 4 ) ) )</f>
        <v>4</v>
      </c>
    </row>
    <row r="158" spans="51:59" x14ac:dyDescent="0.25">
      <c r="AY158" s="7">
        <v>0.16526344036180959</v>
      </c>
      <c r="AZ158" s="7" t="str">
        <f>"1"</f>
        <v>1</v>
      </c>
      <c r="BA158" t="str">
        <f ca="1">IF((OFFSET($A$1, 158 - 1, 51 - 1)) &gt;= (OFFSET($A$1, 68 - 1, 7 - 1)), "1","0")</f>
        <v>0</v>
      </c>
      <c r="BB158">
        <f ca="1" xml:space="preserve"> IF( AND( OFFSET($A$1, 158 - 1, 52 - 1) = "1", OFFSET($A$1, 158 - 1, 53 - 1) = "1" ), 1, IF( AND( OFFSET($A$1, 158 - 1, 52 - 1) = "1", OFFSET($A$1, 158 - 1, 53 - 1) = "0" ), 2, IF( AND( OFFSET($A$1, 158 - 1, 52 - 1) = "0", OFFSET($A$1, 158 - 1, 53 - 1) = "1" ), 3, 4 ) ) )</f>
        <v>2</v>
      </c>
      <c r="BD158" s="7">
        <v>0.19217507898421096</v>
      </c>
      <c r="BE158" s="7" t="str">
        <f>"0"</f>
        <v>0</v>
      </c>
      <c r="BF158" t="str">
        <f ca="1">IF((OFFSET($A$1, 158 - 1, 56 - 1)) &gt;= (OFFSET($A$1, 92 - 1, 7 - 1)), "1","0")</f>
        <v>0</v>
      </c>
      <c r="BG158">
        <f ca="1" xml:space="preserve"> IF( AND( OFFSET($A$1, 158 - 1, 57 - 1) = "1", OFFSET($A$1, 158 - 1, 58 - 1) = "1" ), 1, IF( AND( OFFSET($A$1, 158 - 1, 57 - 1) = "1", OFFSET($A$1, 158 - 1, 58 - 1) = "0" ), 2, IF( AND( OFFSET($A$1, 158 - 1, 57 - 1) = "0", OFFSET($A$1, 158 - 1, 58 - 1) = "1" ), 3, 4 ) ) )</f>
        <v>4</v>
      </c>
    </row>
    <row r="159" spans="51:59" x14ac:dyDescent="0.25">
      <c r="AY159" s="7">
        <v>0.24030925003217191</v>
      </c>
      <c r="AZ159" s="7" t="str">
        <f>"0"</f>
        <v>0</v>
      </c>
      <c r="BA159" t="str">
        <f ca="1">IF((OFFSET($A$1, 159 - 1, 51 - 1)) &gt;= (OFFSET($A$1, 68 - 1, 7 - 1)), "1","0")</f>
        <v>0</v>
      </c>
      <c r="BB159">
        <f ca="1" xml:space="preserve"> IF( AND( OFFSET($A$1, 159 - 1, 52 - 1) = "1", OFFSET($A$1, 159 - 1, 53 - 1) = "1" ), 1, IF( AND( OFFSET($A$1, 159 - 1, 52 - 1) = "1", OFFSET($A$1, 159 - 1, 53 - 1) = "0" ), 2, IF( AND( OFFSET($A$1, 159 - 1, 52 - 1) = "0", OFFSET($A$1, 159 - 1, 53 - 1) = "1" ), 3, 4 ) ) )</f>
        <v>4</v>
      </c>
      <c r="BD159" s="7">
        <v>0.27163463657149273</v>
      </c>
      <c r="BE159" s="7" t="str">
        <f>"0"</f>
        <v>0</v>
      </c>
      <c r="BF159" t="str">
        <f ca="1">IF((OFFSET($A$1, 159 - 1, 56 - 1)) &gt;= (OFFSET($A$1, 92 - 1, 7 - 1)), "1","0")</f>
        <v>0</v>
      </c>
      <c r="BG159">
        <f ca="1" xml:space="preserve"> IF( AND( OFFSET($A$1, 159 - 1, 57 - 1) = "1", OFFSET($A$1, 159 - 1, 58 - 1) = "1" ), 1, IF( AND( OFFSET($A$1, 159 - 1, 57 - 1) = "1", OFFSET($A$1, 159 - 1, 58 - 1) = "0" ), 2, IF( AND( OFFSET($A$1, 159 - 1, 57 - 1) = "0", OFFSET($A$1, 159 - 1, 58 - 1) = "1" ), 3, 4 ) ) )</f>
        <v>4</v>
      </c>
    </row>
    <row r="160" spans="51:59" x14ac:dyDescent="0.25">
      <c r="AY160" s="7">
        <v>0.19414884968908719</v>
      </c>
      <c r="AZ160" s="7" t="str">
        <f>"0"</f>
        <v>0</v>
      </c>
      <c r="BA160" t="str">
        <f ca="1">IF((OFFSET($A$1, 160 - 1, 51 - 1)) &gt;= (OFFSET($A$1, 68 - 1, 7 - 1)), "1","0")</f>
        <v>0</v>
      </c>
      <c r="BB160">
        <f ca="1" xml:space="preserve"> IF( AND( OFFSET($A$1, 160 - 1, 52 - 1) = "1", OFFSET($A$1, 160 - 1, 53 - 1) = "1" ), 1, IF( AND( OFFSET($A$1, 160 - 1, 52 - 1) = "1", OFFSET($A$1, 160 - 1, 53 - 1) = "0" ), 2, IF( AND( OFFSET($A$1, 160 - 1, 52 - 1) = "0", OFFSET($A$1, 160 - 1, 53 - 1) = "1" ), 3, 4 ) ) )</f>
        <v>4</v>
      </c>
      <c r="BD160" s="7">
        <v>0.21580279613996525</v>
      </c>
      <c r="BE160" s="7" t="str">
        <f>"0"</f>
        <v>0</v>
      </c>
      <c r="BF160" t="str">
        <f ca="1">IF((OFFSET($A$1, 160 - 1, 56 - 1)) &gt;= (OFFSET($A$1, 92 - 1, 7 - 1)), "1","0")</f>
        <v>0</v>
      </c>
      <c r="BG160">
        <f ca="1" xml:space="preserve"> IF( AND( OFFSET($A$1, 160 - 1, 57 - 1) = "1", OFFSET($A$1, 160 - 1, 58 - 1) = "1" ), 1, IF( AND( OFFSET($A$1, 160 - 1, 57 - 1) = "1", OFFSET($A$1, 160 - 1, 58 - 1) = "0" ), 2, IF( AND( OFFSET($A$1, 160 - 1, 57 - 1) = "0", OFFSET($A$1, 160 - 1, 58 - 1) = "1" ), 3, 4 ) ) )</f>
        <v>4</v>
      </c>
    </row>
    <row r="161" spans="51:59" x14ac:dyDescent="0.25">
      <c r="AY161" s="7">
        <v>0.19316004682073495</v>
      </c>
      <c r="AZ161" s="7" t="str">
        <f>"0"</f>
        <v>0</v>
      </c>
      <c r="BA161" t="str">
        <f ca="1">IF((OFFSET($A$1, 161 - 1, 51 - 1)) &gt;= (OFFSET($A$1, 68 - 1, 7 - 1)), "1","0")</f>
        <v>0</v>
      </c>
      <c r="BB161">
        <f ca="1" xml:space="preserve"> IF( AND( OFFSET($A$1, 161 - 1, 52 - 1) = "1", OFFSET($A$1, 161 - 1, 53 - 1) = "1" ), 1, IF( AND( OFFSET($A$1, 161 - 1, 52 - 1) = "1", OFFSET($A$1, 161 - 1, 53 - 1) = "0" ), 2, IF( AND( OFFSET($A$1, 161 - 1, 52 - 1) = "0", OFFSET($A$1, 161 - 1, 53 - 1) = "1" ), 3, 4 ) ) )</f>
        <v>4</v>
      </c>
      <c r="BD161" s="7">
        <v>0.19814245947234735</v>
      </c>
      <c r="BE161" s="7" t="str">
        <f>"1"</f>
        <v>1</v>
      </c>
      <c r="BF161" t="str">
        <f ca="1">IF((OFFSET($A$1, 161 - 1, 56 - 1)) &gt;= (OFFSET($A$1, 92 - 1, 7 - 1)), "1","0")</f>
        <v>0</v>
      </c>
      <c r="BG161">
        <f ca="1" xml:space="preserve"> IF( AND( OFFSET($A$1, 161 - 1, 57 - 1) = "1", OFFSET($A$1, 161 - 1, 58 - 1) = "1" ), 1, IF( AND( OFFSET($A$1, 161 - 1, 57 - 1) = "1", OFFSET($A$1, 161 - 1, 58 - 1) = "0" ), 2, IF( AND( OFFSET($A$1, 161 - 1, 57 - 1) = "0", OFFSET($A$1, 161 - 1, 58 - 1) = "1" ), 3, 4 ) ) )</f>
        <v>2</v>
      </c>
    </row>
    <row r="162" spans="51:59" x14ac:dyDescent="0.25">
      <c r="AY162" s="7">
        <v>0.17601433243372855</v>
      </c>
      <c r="AZ162" s="7" t="str">
        <f>"1"</f>
        <v>1</v>
      </c>
      <c r="BA162" t="str">
        <f ca="1">IF((OFFSET($A$1, 162 - 1, 51 - 1)) &gt;= (OFFSET($A$1, 68 - 1, 7 - 1)), "1","0")</f>
        <v>0</v>
      </c>
      <c r="BB162">
        <f ca="1" xml:space="preserve"> IF( AND( OFFSET($A$1, 162 - 1, 52 - 1) = "1", OFFSET($A$1, 162 - 1, 53 - 1) = "1" ), 1, IF( AND( OFFSET($A$1, 162 - 1, 52 - 1) = "1", OFFSET($A$1, 162 - 1, 53 - 1) = "0" ), 2, IF( AND( OFFSET($A$1, 162 - 1, 52 - 1) = "0", OFFSET($A$1, 162 - 1, 53 - 1) = "1" ), 3, 4 ) ) )</f>
        <v>2</v>
      </c>
      <c r="BD162" s="7">
        <v>0.27038360799655531</v>
      </c>
      <c r="BE162" s="7" t="str">
        <f>"0"</f>
        <v>0</v>
      </c>
      <c r="BF162" t="str">
        <f ca="1">IF((OFFSET($A$1, 162 - 1, 56 - 1)) &gt;= (OFFSET($A$1, 92 - 1, 7 - 1)), "1","0")</f>
        <v>0</v>
      </c>
      <c r="BG162">
        <f ca="1" xml:space="preserve"> IF( AND( OFFSET($A$1, 162 - 1, 57 - 1) = "1", OFFSET($A$1, 162 - 1, 58 - 1) = "1" ), 1, IF( AND( OFFSET($A$1, 162 - 1, 57 - 1) = "1", OFFSET($A$1, 162 - 1, 58 - 1) = "0" ), 2, IF( AND( OFFSET($A$1, 162 - 1, 57 - 1) = "0", OFFSET($A$1, 162 - 1, 58 - 1) = "1" ), 3, 4 ) ) )</f>
        <v>4</v>
      </c>
    </row>
    <row r="163" spans="51:59" x14ac:dyDescent="0.25">
      <c r="AY163" s="7">
        <v>0.16967760689892111</v>
      </c>
      <c r="AZ163" s="7" t="str">
        <f>"0"</f>
        <v>0</v>
      </c>
      <c r="BA163" t="str">
        <f ca="1">IF((OFFSET($A$1, 163 - 1, 51 - 1)) &gt;= (OFFSET($A$1, 68 - 1, 7 - 1)), "1","0")</f>
        <v>0</v>
      </c>
      <c r="BB163">
        <f ca="1" xml:space="preserve"> IF( AND( OFFSET($A$1, 163 - 1, 52 - 1) = "1", OFFSET($A$1, 163 - 1, 53 - 1) = "1" ), 1, IF( AND( OFFSET($A$1, 163 - 1, 52 - 1) = "1", OFFSET($A$1, 163 - 1, 53 - 1) = "0" ), 2, IF( AND( OFFSET($A$1, 163 - 1, 52 - 1) = "0", OFFSET($A$1, 163 - 1, 53 - 1) = "1" ), 3, 4 ) ) )</f>
        <v>4</v>
      </c>
      <c r="BD163" s="7">
        <v>0.21795376586115467</v>
      </c>
      <c r="BE163" s="7" t="str">
        <f>"0"</f>
        <v>0</v>
      </c>
      <c r="BF163" t="str">
        <f ca="1">IF((OFFSET($A$1, 163 - 1, 56 - 1)) &gt;= (OFFSET($A$1, 92 - 1, 7 - 1)), "1","0")</f>
        <v>0</v>
      </c>
      <c r="BG163">
        <f ca="1" xml:space="preserve"> IF( AND( OFFSET($A$1, 163 - 1, 57 - 1) = "1", OFFSET($A$1, 163 - 1, 58 - 1) = "1" ), 1, IF( AND( OFFSET($A$1, 163 - 1, 57 - 1) = "1", OFFSET($A$1, 163 - 1, 58 - 1) = "0" ), 2, IF( AND( OFFSET($A$1, 163 - 1, 57 - 1) = "0", OFFSET($A$1, 163 - 1, 58 - 1) = "1" ), 3, 4 ) ) )</f>
        <v>4</v>
      </c>
    </row>
    <row r="164" spans="51:59" x14ac:dyDescent="0.25">
      <c r="AY164" s="7">
        <v>0.22230196043449058</v>
      </c>
      <c r="AZ164" s="7" t="str">
        <f>"0"</f>
        <v>0</v>
      </c>
      <c r="BA164" t="str">
        <f ca="1">IF((OFFSET($A$1, 164 - 1, 51 - 1)) &gt;= (OFFSET($A$1, 68 - 1, 7 - 1)), "1","0")</f>
        <v>0</v>
      </c>
      <c r="BB164">
        <f ca="1" xml:space="preserve"> IF( AND( OFFSET($A$1, 164 - 1, 52 - 1) = "1", OFFSET($A$1, 164 - 1, 53 - 1) = "1" ), 1, IF( AND( OFFSET($A$1, 164 - 1, 52 - 1) = "1", OFFSET($A$1, 164 - 1, 53 - 1) = "0" ), 2, IF( AND( OFFSET($A$1, 164 - 1, 52 - 1) = "0", OFFSET($A$1, 164 - 1, 53 - 1) = "1" ), 3, 4 ) ) )</f>
        <v>4</v>
      </c>
      <c r="BD164" s="7">
        <v>0.20735322501989456</v>
      </c>
      <c r="BE164" s="7" t="str">
        <f>"1"</f>
        <v>1</v>
      </c>
      <c r="BF164" t="str">
        <f ca="1">IF((OFFSET($A$1, 164 - 1, 56 - 1)) &gt;= (OFFSET($A$1, 92 - 1, 7 - 1)), "1","0")</f>
        <v>0</v>
      </c>
      <c r="BG164">
        <f ca="1" xml:space="preserve"> IF( AND( OFFSET($A$1, 164 - 1, 57 - 1) = "1", OFFSET($A$1, 164 - 1, 58 - 1) = "1" ), 1, IF( AND( OFFSET($A$1, 164 - 1, 57 - 1) = "1", OFFSET($A$1, 164 - 1, 58 - 1) = "0" ), 2, IF( AND( OFFSET($A$1, 164 - 1, 57 - 1) = "0", OFFSET($A$1, 164 - 1, 58 - 1) = "1" ), 3, 4 ) ) )</f>
        <v>2</v>
      </c>
    </row>
    <row r="165" spans="51:59" x14ac:dyDescent="0.25">
      <c r="AY165" s="7">
        <v>0.17785866534839434</v>
      </c>
      <c r="AZ165" s="7" t="str">
        <f>"0"</f>
        <v>0</v>
      </c>
      <c r="BA165" t="str">
        <f ca="1">IF((OFFSET($A$1, 165 - 1, 51 - 1)) &gt;= (OFFSET($A$1, 68 - 1, 7 - 1)), "1","0")</f>
        <v>0</v>
      </c>
      <c r="BB165">
        <f ca="1" xml:space="preserve"> IF( AND( OFFSET($A$1, 165 - 1, 52 - 1) = "1", OFFSET($A$1, 165 - 1, 53 - 1) = "1" ), 1, IF( AND( OFFSET($A$1, 165 - 1, 52 - 1) = "1", OFFSET($A$1, 165 - 1, 53 - 1) = "0" ), 2, IF( AND( OFFSET($A$1, 165 - 1, 52 - 1) = "0", OFFSET($A$1, 165 - 1, 53 - 1) = "1" ), 3, 4 ) ) )</f>
        <v>4</v>
      </c>
      <c r="BD165" s="7">
        <v>0.12606695469913834</v>
      </c>
      <c r="BE165" s="7" t="str">
        <f>"0"</f>
        <v>0</v>
      </c>
      <c r="BF165" t="str">
        <f ca="1">IF((OFFSET($A$1, 165 - 1, 56 - 1)) &gt;= (OFFSET($A$1, 92 - 1, 7 - 1)), "1","0")</f>
        <v>0</v>
      </c>
      <c r="BG165">
        <f ca="1" xml:space="preserve"> IF( AND( OFFSET($A$1, 165 - 1, 57 - 1) = "1", OFFSET($A$1, 165 - 1, 58 - 1) = "1" ), 1, IF( AND( OFFSET($A$1, 165 - 1, 57 - 1) = "1", OFFSET($A$1, 165 - 1, 58 - 1) = "0" ), 2, IF( AND( OFFSET($A$1, 165 - 1, 57 - 1) = "0", OFFSET($A$1, 165 - 1, 58 - 1) = "1" ), 3, 4 ) ) )</f>
        <v>4</v>
      </c>
    </row>
    <row r="166" spans="51:59" x14ac:dyDescent="0.25">
      <c r="AY166" s="7">
        <v>0.17785866534839434</v>
      </c>
      <c r="AZ166" s="7" t="str">
        <f>"0"</f>
        <v>0</v>
      </c>
      <c r="BA166" t="str">
        <f ca="1">IF((OFFSET($A$1, 166 - 1, 51 - 1)) &gt;= (OFFSET($A$1, 68 - 1, 7 - 1)), "1","0")</f>
        <v>0</v>
      </c>
      <c r="BB166">
        <f ca="1" xml:space="preserve"> IF( AND( OFFSET($A$1, 166 - 1, 52 - 1) = "1", OFFSET($A$1, 166 - 1, 53 - 1) = "1" ), 1, IF( AND( OFFSET($A$1, 166 - 1, 52 - 1) = "1", OFFSET($A$1, 166 - 1, 53 - 1) = "0" ), 2, IF( AND( OFFSET($A$1, 166 - 1, 52 - 1) = "0", OFFSET($A$1, 166 - 1, 53 - 1) = "1" ), 3, 4 ) ) )</f>
        <v>4</v>
      </c>
      <c r="BD166" s="7">
        <v>0.21366725442465345</v>
      </c>
      <c r="BE166" s="7" t="str">
        <f>"1"</f>
        <v>1</v>
      </c>
      <c r="BF166" t="str">
        <f ca="1">IF((OFFSET($A$1, 166 - 1, 56 - 1)) &gt;= (OFFSET($A$1, 92 - 1, 7 - 1)), "1","0")</f>
        <v>0</v>
      </c>
      <c r="BG166">
        <f ca="1" xml:space="preserve"> IF( AND( OFFSET($A$1, 166 - 1, 57 - 1) = "1", OFFSET($A$1, 166 - 1, 58 - 1) = "1" ), 1, IF( AND( OFFSET($A$1, 166 - 1, 57 - 1) = "1", OFFSET($A$1, 166 - 1, 58 - 1) = "0" ), 2, IF( AND( OFFSET($A$1, 166 - 1, 57 - 1) = "0", OFFSET($A$1, 166 - 1, 58 - 1) = "1" ), 3, 4 ) ) )</f>
        <v>2</v>
      </c>
    </row>
    <row r="167" spans="51:59" x14ac:dyDescent="0.25">
      <c r="AY167" s="7">
        <v>0.19713829282085699</v>
      </c>
      <c r="AZ167" s="7" t="str">
        <f>"1"</f>
        <v>1</v>
      </c>
      <c r="BA167" t="str">
        <f ca="1">IF((OFFSET($A$1, 167 - 1, 51 - 1)) &gt;= (OFFSET($A$1, 68 - 1, 7 - 1)), "1","0")</f>
        <v>0</v>
      </c>
      <c r="BB167">
        <f ca="1" xml:space="preserve"> IF( AND( OFFSET($A$1, 167 - 1, 52 - 1) = "1", OFFSET($A$1, 167 - 1, 53 - 1) = "1" ), 1, IF( AND( OFFSET($A$1, 167 - 1, 52 - 1) = "1", OFFSET($A$1, 167 - 1, 53 - 1) = "0" ), 2, IF( AND( OFFSET($A$1, 167 - 1, 52 - 1) = "0", OFFSET($A$1, 167 - 1, 53 - 1) = "1" ), 3, 4 ) ) )</f>
        <v>2</v>
      </c>
      <c r="BD167" s="7">
        <v>0.16967760689892111</v>
      </c>
      <c r="BE167" s="7" t="str">
        <f>"0"</f>
        <v>0</v>
      </c>
      <c r="BF167" t="str">
        <f ca="1">IF((OFFSET($A$1, 167 - 1, 56 - 1)) &gt;= (OFFSET($A$1, 92 - 1, 7 - 1)), "1","0")</f>
        <v>0</v>
      </c>
      <c r="BG167">
        <f ca="1" xml:space="preserve"> IF( AND( OFFSET($A$1, 167 - 1, 57 - 1) = "1", OFFSET($A$1, 167 - 1, 58 - 1) = "1" ), 1, IF( AND( OFFSET($A$1, 167 - 1, 57 - 1) = "1", OFFSET($A$1, 167 - 1, 58 - 1) = "0" ), 2, IF( AND( OFFSET($A$1, 167 - 1, 57 - 1) = "0", OFFSET($A$1, 167 - 1, 58 - 1) = "1" ), 3, 4 ) ) )</f>
        <v>4</v>
      </c>
    </row>
    <row r="168" spans="51:59" x14ac:dyDescent="0.25">
      <c r="AY168" s="7">
        <v>0.19613797039107672</v>
      </c>
      <c r="AZ168" s="7" t="str">
        <f>"1"</f>
        <v>1</v>
      </c>
      <c r="BA168" t="str">
        <f ca="1">IF((OFFSET($A$1, 168 - 1, 51 - 1)) &gt;= (OFFSET($A$1, 68 - 1, 7 - 1)), "1","0")</f>
        <v>0</v>
      </c>
      <c r="BB168">
        <f ca="1" xml:space="preserve"> IF( AND( OFFSET($A$1, 168 - 1, 52 - 1) = "1", OFFSET($A$1, 168 - 1, 53 - 1) = "1" ), 1, IF( AND( OFFSET($A$1, 168 - 1, 52 - 1) = "1", OFFSET($A$1, 168 - 1, 53 - 1) = "0" ), 2, IF( AND( OFFSET($A$1, 168 - 1, 52 - 1) = "0", OFFSET($A$1, 168 - 1, 53 - 1) = "1" ), 3, 4 ) ) )</f>
        <v>2</v>
      </c>
      <c r="BD168" s="7">
        <v>0.21580279613996525</v>
      </c>
      <c r="BE168" s="7" t="str">
        <f>"1"</f>
        <v>1</v>
      </c>
      <c r="BF168" t="str">
        <f ca="1">IF((OFFSET($A$1, 168 - 1, 56 - 1)) &gt;= (OFFSET($A$1, 92 - 1, 7 - 1)), "1","0")</f>
        <v>0</v>
      </c>
      <c r="BG168">
        <f ca="1" xml:space="preserve"> IF( AND( OFFSET($A$1, 168 - 1, 57 - 1) = "1", OFFSET($A$1, 168 - 1, 58 - 1) = "1" ), 1, IF( AND( OFFSET($A$1, 168 - 1, 57 - 1) = "1", OFFSET($A$1, 168 - 1, 58 - 1) = "0" ), 2, IF( AND( OFFSET($A$1, 168 - 1, 57 - 1) = "0", OFFSET($A$1, 168 - 1, 58 - 1) = "1" ), 3, 4 ) ) )</f>
        <v>2</v>
      </c>
    </row>
    <row r="169" spans="51:59" x14ac:dyDescent="0.25">
      <c r="AY169" s="7">
        <v>0.17693461237668723</v>
      </c>
      <c r="AZ169" s="7" t="str">
        <f>"0"</f>
        <v>0</v>
      </c>
      <c r="BA169" t="str">
        <f ca="1">IF((OFFSET($A$1, 169 - 1, 51 - 1)) &gt;= (OFFSET($A$1, 68 - 1, 7 - 1)), "1","0")</f>
        <v>0</v>
      </c>
      <c r="BB169">
        <f ca="1" xml:space="preserve"> IF( AND( OFFSET($A$1, 169 - 1, 52 - 1) = "1", OFFSET($A$1, 169 - 1, 53 - 1) = "1" ), 1, IF( AND( OFFSET($A$1, 169 - 1, 52 - 1) = "1", OFFSET($A$1, 169 - 1, 53 - 1) = "0" ), 2, IF( AND( OFFSET($A$1, 169 - 1, 52 - 1) = "0", OFFSET($A$1, 169 - 1, 53 - 1) = "1" ), 3, 4 ) ) )</f>
        <v>4</v>
      </c>
      <c r="BD169" s="7">
        <v>0.2461368292912646</v>
      </c>
      <c r="BE169" s="7" t="str">
        <f>"0"</f>
        <v>0</v>
      </c>
      <c r="BF169" t="str">
        <f ca="1">IF((OFFSET($A$1, 169 - 1, 56 - 1)) &gt;= (OFFSET($A$1, 92 - 1, 7 - 1)), "1","0")</f>
        <v>0</v>
      </c>
      <c r="BG169">
        <f ca="1" xml:space="preserve"> IF( AND( OFFSET($A$1, 169 - 1, 57 - 1) = "1", OFFSET($A$1, 169 - 1, 58 - 1) = "1" ), 1, IF( AND( OFFSET($A$1, 169 - 1, 57 - 1) = "1", OFFSET($A$1, 169 - 1, 58 - 1) = "0" ), 2, IF( AND( OFFSET($A$1, 169 - 1, 57 - 1) = "0", OFFSET($A$1, 169 - 1, 58 - 1) = "1" ), 3, 4 ) ) )</f>
        <v>4</v>
      </c>
    </row>
    <row r="170" spans="51:59" x14ac:dyDescent="0.25">
      <c r="AY170" s="7">
        <v>0.23457671248419984</v>
      </c>
      <c r="AZ170" s="7" t="str">
        <f>"0"</f>
        <v>0</v>
      </c>
      <c r="BA170" t="str">
        <f ca="1">IF((OFFSET($A$1, 170 - 1, 51 - 1)) &gt;= (OFFSET($A$1, 68 - 1, 7 - 1)), "1","0")</f>
        <v>0</v>
      </c>
      <c r="BB170">
        <f ca="1" xml:space="preserve"> IF( AND( OFFSET($A$1, 170 - 1, 52 - 1) = "1", OFFSET($A$1, 170 - 1, 53 - 1) = "1" ), 1, IF( AND( OFFSET($A$1, 170 - 1, 52 - 1) = "1", OFFSET($A$1, 170 - 1, 53 - 1) = "0" ), 2, IF( AND( OFFSET($A$1, 170 - 1, 52 - 1) = "0", OFFSET($A$1, 170 - 1, 53 - 1) = "1" ), 3, 4 ) ) )</f>
        <v>4</v>
      </c>
      <c r="BD170" s="7">
        <v>0.22782381381309177</v>
      </c>
      <c r="BE170" s="7" t="str">
        <f>"0"</f>
        <v>0</v>
      </c>
      <c r="BF170" t="str">
        <f ca="1">IF((OFFSET($A$1, 170 - 1, 56 - 1)) &gt;= (OFFSET($A$1, 92 - 1, 7 - 1)), "1","0")</f>
        <v>0</v>
      </c>
      <c r="BG170">
        <f ca="1" xml:space="preserve"> IF( AND( OFFSET($A$1, 170 - 1, 57 - 1) = "1", OFFSET($A$1, 170 - 1, 58 - 1) = "1" ), 1, IF( AND( OFFSET($A$1, 170 - 1, 57 - 1) = "1", OFFSET($A$1, 170 - 1, 58 - 1) = "0" ), 2, IF( AND( OFFSET($A$1, 170 - 1, 57 - 1) = "0", OFFSET($A$1, 170 - 1, 58 - 1) = "1" ), 3, 4 ) ) )</f>
        <v>4</v>
      </c>
    </row>
    <row r="171" spans="51:59" x14ac:dyDescent="0.25">
      <c r="AY171" s="7">
        <v>0.21580279613996525</v>
      </c>
      <c r="AZ171" s="7" t="str">
        <f>"0"</f>
        <v>0</v>
      </c>
      <c r="BA171" t="str">
        <f ca="1">IF((OFFSET($A$1, 171 - 1, 51 - 1)) &gt;= (OFFSET($A$1, 68 - 1, 7 - 1)), "1","0")</f>
        <v>0</v>
      </c>
      <c r="BB171">
        <f ca="1" xml:space="preserve"> IF( AND( OFFSET($A$1, 171 - 1, 52 - 1) = "1", OFFSET($A$1, 171 - 1, 53 - 1) = "1" ), 1, IF( AND( OFFSET($A$1, 171 - 1, 52 - 1) = "1", OFFSET($A$1, 171 - 1, 53 - 1) = "0" ), 2, IF( AND( OFFSET($A$1, 171 - 1, 52 - 1) = "0", OFFSET($A$1, 171 - 1, 53 - 1) = "1" ), 3, 4 ) ) )</f>
        <v>4</v>
      </c>
      <c r="BD171" s="7">
        <v>0.20424828760241162</v>
      </c>
      <c r="BE171" s="7" t="str">
        <f>"1"</f>
        <v>1</v>
      </c>
      <c r="BF171" t="str">
        <f ca="1">IF((OFFSET($A$1, 171 - 1, 56 - 1)) &gt;= (OFFSET($A$1, 92 - 1, 7 - 1)), "1","0")</f>
        <v>0</v>
      </c>
      <c r="BG171">
        <f ca="1" xml:space="preserve"> IF( AND( OFFSET($A$1, 171 - 1, 57 - 1) = "1", OFFSET($A$1, 171 - 1, 58 - 1) = "1" ), 1, IF( AND( OFFSET($A$1, 171 - 1, 57 - 1) = "1", OFFSET($A$1, 171 - 1, 58 - 1) = "0" ), 2, IF( AND( OFFSET($A$1, 171 - 1, 57 - 1) = "0", OFFSET($A$1, 171 - 1, 58 - 1) = "1" ), 3, 4 ) ) )</f>
        <v>2</v>
      </c>
    </row>
    <row r="172" spans="51:59" x14ac:dyDescent="0.25">
      <c r="AY172" s="7">
        <v>0.18253568298471734</v>
      </c>
      <c r="AZ172" s="7" t="str">
        <f>"1"</f>
        <v>1</v>
      </c>
      <c r="BA172" t="str">
        <f ca="1">IF((OFFSET($A$1, 172 - 1, 51 - 1)) &gt;= (OFFSET($A$1, 68 - 1, 7 - 1)), "1","0")</f>
        <v>0</v>
      </c>
      <c r="BB172">
        <f ca="1" xml:space="preserve"> IF( AND( OFFSET($A$1, 172 - 1, 52 - 1) = "1", OFFSET($A$1, 172 - 1, 53 - 1) = "1" ), 1, IF( AND( OFFSET($A$1, 172 - 1, 52 - 1) = "1", OFFSET($A$1, 172 - 1, 53 - 1) = "0" ), 2, IF( AND( OFFSET($A$1, 172 - 1, 52 - 1) = "0", OFFSET($A$1, 172 - 1, 53 - 1) = "1" ), 3, 4 ) ) )</f>
        <v>2</v>
      </c>
      <c r="BD172" s="7">
        <v>0.28692674433772758</v>
      </c>
      <c r="BE172" s="7" t="str">
        <f>"0"</f>
        <v>0</v>
      </c>
      <c r="BF172" t="str">
        <f ca="1">IF((OFFSET($A$1, 172 - 1, 56 - 1)) &gt;= (OFFSET($A$1, 92 - 1, 7 - 1)), "1","0")</f>
        <v>0</v>
      </c>
      <c r="BG172">
        <f ca="1" xml:space="preserve"> IF( AND( OFFSET($A$1, 172 - 1, 57 - 1) = "1", OFFSET($A$1, 172 - 1, 58 - 1) = "1" ), 1, IF( AND( OFFSET($A$1, 172 - 1, 57 - 1) = "1", OFFSET($A$1, 172 - 1, 58 - 1) = "0" ), 2, IF( AND( OFFSET($A$1, 172 - 1, 57 - 1) = "0", OFFSET($A$1, 172 - 1, 58 - 1) = "1" ), 3, 4 ) ) )</f>
        <v>4</v>
      </c>
    </row>
    <row r="173" spans="51:59" x14ac:dyDescent="0.25">
      <c r="AY173" s="7">
        <v>0.22230196043449058</v>
      </c>
      <c r="AZ173" s="7" t="str">
        <f>"0"</f>
        <v>0</v>
      </c>
      <c r="BA173" t="str">
        <f ca="1">IF((OFFSET($A$1, 173 - 1, 51 - 1)) &gt;= (OFFSET($A$1, 68 - 1, 7 - 1)), "1","0")</f>
        <v>0</v>
      </c>
      <c r="BB173">
        <f ca="1" xml:space="preserve"> IF( AND( OFFSET($A$1, 173 - 1, 52 - 1) = "1", OFFSET($A$1, 173 - 1, 53 - 1) = "1" ), 1, IF( AND( OFFSET($A$1, 173 - 1, 52 - 1) = "1", OFFSET($A$1, 173 - 1, 53 - 1) = "0" ), 2, IF( AND( OFFSET($A$1, 173 - 1, 52 - 1) = "0", OFFSET($A$1, 173 - 1, 53 - 1) = "1" ), 3, 4 ) ) )</f>
        <v>4</v>
      </c>
      <c r="BD173" s="7">
        <v>0.21580279613996525</v>
      </c>
      <c r="BE173" s="7" t="str">
        <f>"0"</f>
        <v>0</v>
      </c>
      <c r="BF173" t="str">
        <f ca="1">IF((OFFSET($A$1, 173 - 1, 56 - 1)) &gt;= (OFFSET($A$1, 92 - 1, 7 - 1)), "1","0")</f>
        <v>0</v>
      </c>
      <c r="BG173">
        <f ca="1" xml:space="preserve"> IF( AND( OFFSET($A$1, 173 - 1, 57 - 1) = "1", OFFSET($A$1, 173 - 1, 58 - 1) = "1" ), 1, IF( AND( OFFSET($A$1, 173 - 1, 57 - 1) = "1", OFFSET($A$1, 173 - 1, 58 - 1) = "0" ), 2, IF( AND( OFFSET($A$1, 173 - 1, 57 - 1) = "0", OFFSET($A$1, 173 - 1, 58 - 1) = "1" ), 3, 4 ) ) )</f>
        <v>4</v>
      </c>
    </row>
    <row r="174" spans="51:59" x14ac:dyDescent="0.25">
      <c r="AY174" s="7">
        <v>0.26050689602994787</v>
      </c>
      <c r="AZ174" s="7" t="str">
        <f>"0"</f>
        <v>0</v>
      </c>
      <c r="BA174" t="str">
        <f ca="1">IF((OFFSET($A$1, 174 - 1, 51 - 1)) &gt;= (OFFSET($A$1, 68 - 1, 7 - 1)), "1","0")</f>
        <v>0</v>
      </c>
      <c r="BB174">
        <f ca="1" xml:space="preserve"> IF( AND( OFFSET($A$1, 174 - 1, 52 - 1) = "1", OFFSET($A$1, 174 - 1, 53 - 1) = "1" ), 1, IF( AND( OFFSET($A$1, 174 - 1, 52 - 1) = "1", OFFSET($A$1, 174 - 1, 53 - 1) = "0" ), 2, IF( AND( OFFSET($A$1, 174 - 1, 52 - 1) = "0", OFFSET($A$1, 174 - 1, 53 - 1) = "1" ), 3, 4 ) ) )</f>
        <v>4</v>
      </c>
      <c r="BD174" s="7">
        <v>0.19414884968908719</v>
      </c>
      <c r="BE174" s="7" t="str">
        <f>"1"</f>
        <v>1</v>
      </c>
      <c r="BF174" t="str">
        <f ca="1">IF((OFFSET($A$1, 174 - 1, 56 - 1)) &gt;= (OFFSET($A$1, 92 - 1, 7 - 1)), "1","0")</f>
        <v>0</v>
      </c>
      <c r="BG174">
        <f ca="1" xml:space="preserve"> IF( AND( OFFSET($A$1, 174 - 1, 57 - 1) = "1", OFFSET($A$1, 174 - 1, 58 - 1) = "1" ), 1, IF( AND( OFFSET($A$1, 174 - 1, 57 - 1) = "1", OFFSET($A$1, 174 - 1, 58 - 1) = "0" ), 2, IF( AND( OFFSET($A$1, 174 - 1, 57 - 1) = "0", OFFSET($A$1, 174 - 1, 58 - 1) = "1" ), 3, 4 ) ) )</f>
        <v>2</v>
      </c>
    </row>
    <row r="175" spans="51:59" x14ac:dyDescent="0.25">
      <c r="AY175" s="7">
        <v>0.21687635285058307</v>
      </c>
      <c r="AZ175" s="7" t="str">
        <f>"0"</f>
        <v>0</v>
      </c>
      <c r="BA175" t="str">
        <f ca="1">IF((OFFSET($A$1, 175 - 1, 51 - 1)) &gt;= (OFFSET($A$1, 68 - 1, 7 - 1)), "1","0")</f>
        <v>0</v>
      </c>
      <c r="BB175">
        <f ca="1" xml:space="preserve"> IF( AND( OFFSET($A$1, 175 - 1, 52 - 1) = "1", OFFSET($A$1, 175 - 1, 53 - 1) = "1" ), 1, IF( AND( OFFSET($A$1, 175 - 1, 52 - 1) = "1", OFFSET($A$1, 175 - 1, 53 - 1) = "0" ), 2, IF( AND( OFFSET($A$1, 175 - 1, 52 - 1) = "0", OFFSET($A$1, 175 - 1, 53 - 1) = "1" ), 3, 4 ) ) )</f>
        <v>4</v>
      </c>
      <c r="BD175" s="7">
        <v>0.22120913286454225</v>
      </c>
      <c r="BE175" s="7" t="str">
        <f>"1"</f>
        <v>1</v>
      </c>
      <c r="BF175" t="str">
        <f ca="1">IF((OFFSET($A$1, 175 - 1, 56 - 1)) &gt;= (OFFSET($A$1, 92 - 1, 7 - 1)), "1","0")</f>
        <v>0</v>
      </c>
      <c r="BG175">
        <f ca="1" xml:space="preserve"> IF( AND( OFFSET($A$1, 175 - 1, 57 - 1) = "1", OFFSET($A$1, 175 - 1, 58 - 1) = "1" ), 1, IF( AND( OFFSET($A$1, 175 - 1, 57 - 1) = "1", OFFSET($A$1, 175 - 1, 58 - 1) = "0" ), 2, IF( AND( OFFSET($A$1, 175 - 1, 57 - 1) = "0", OFFSET($A$1, 175 - 1, 58 - 1) = "1" ), 3, 4 ) ) )</f>
        <v>2</v>
      </c>
    </row>
    <row r="176" spans="51:59" x14ac:dyDescent="0.25">
      <c r="AY176" s="7">
        <v>0.13031269899484205</v>
      </c>
      <c r="AZ176" s="7" t="str">
        <f>"0"</f>
        <v>0</v>
      </c>
      <c r="BA176" t="str">
        <f ca="1">IF((OFFSET($A$1, 176 - 1, 51 - 1)) &gt;= (OFFSET($A$1, 68 - 1, 7 - 1)), "1","0")</f>
        <v>0</v>
      </c>
      <c r="BB176">
        <f ca="1" xml:space="preserve"> IF( AND( OFFSET($A$1, 176 - 1, 52 - 1) = "1", OFFSET($A$1, 176 - 1, 53 - 1) = "1" ), 1, IF( AND( OFFSET($A$1, 176 - 1, 52 - 1) = "1", OFFSET($A$1, 176 - 1, 53 - 1) = "0" ), 2, IF( AND( OFFSET($A$1, 176 - 1, 52 - 1) = "0", OFFSET($A$1, 176 - 1, 53 - 1) = "1" ), 3, 4 ) ) )</f>
        <v>4</v>
      </c>
      <c r="BD176" s="7">
        <v>0.2691362121211332</v>
      </c>
      <c r="BE176" s="7" t="str">
        <f>"0"</f>
        <v>0</v>
      </c>
      <c r="BF176" t="str">
        <f ca="1">IF((OFFSET($A$1, 176 - 1, 56 - 1)) &gt;= (OFFSET($A$1, 92 - 1, 7 - 1)), "1","0")</f>
        <v>0</v>
      </c>
      <c r="BG176">
        <f ca="1" xml:space="preserve"> IF( AND( OFFSET($A$1, 176 - 1, 57 - 1) = "1", OFFSET($A$1, 176 - 1, 58 - 1) = "1" ), 1, IF( AND( OFFSET($A$1, 176 - 1, 57 - 1) = "1", OFFSET($A$1, 176 - 1, 58 - 1) = "0" ), 2, IF( AND( OFFSET($A$1, 176 - 1, 57 - 1) = "0", OFFSET($A$1, 176 - 1, 58 - 1) = "1" ), 3, 4 ) ) )</f>
        <v>4</v>
      </c>
    </row>
    <row r="177" spans="51:59" x14ac:dyDescent="0.25">
      <c r="AY177" s="7">
        <v>0.13467939770471385</v>
      </c>
      <c r="AZ177" s="7" t="str">
        <f>"0"</f>
        <v>0</v>
      </c>
      <c r="BA177" t="str">
        <f ca="1">IF((OFFSET($A$1, 177 - 1, 51 - 1)) &gt;= (OFFSET($A$1, 68 - 1, 7 - 1)), "1","0")</f>
        <v>0</v>
      </c>
      <c r="BB177">
        <f ca="1" xml:space="preserve"> IF( AND( OFFSET($A$1, 177 - 1, 52 - 1) = "1", OFFSET($A$1, 177 - 1, 53 - 1) = "1" ), 1, IF( AND( OFFSET($A$1, 177 - 1, 52 - 1) = "1", OFFSET($A$1, 177 - 1, 53 - 1) = "0" ), 2, IF( AND( OFFSET($A$1, 177 - 1, 52 - 1) = "0", OFFSET($A$1, 177 - 1, 53 - 1) = "1" ), 3, 4 ) ) )</f>
        <v>4</v>
      </c>
      <c r="BD177" s="7">
        <v>0.2391551216803047</v>
      </c>
      <c r="BE177" s="7" t="str">
        <f>"0"</f>
        <v>0</v>
      </c>
      <c r="BF177" t="str">
        <f ca="1">IF((OFFSET($A$1, 177 - 1, 56 - 1)) &gt;= (OFFSET($A$1, 92 - 1, 7 - 1)), "1","0")</f>
        <v>0</v>
      </c>
      <c r="BG177">
        <f ca="1" xml:space="preserve"> IF( AND( OFFSET($A$1, 177 - 1, 57 - 1) = "1", OFFSET($A$1, 177 - 1, 58 - 1) = "1" ), 1, IF( AND( OFFSET($A$1, 177 - 1, 57 - 1) = "1", OFFSET($A$1, 177 - 1, 58 - 1) = "0" ), 2, IF( AND( OFFSET($A$1, 177 - 1, 57 - 1) = "0", OFFSET($A$1, 177 - 1, 58 - 1) = "1" ), 3, 4 ) ) )</f>
        <v>4</v>
      </c>
    </row>
    <row r="178" spans="51:59" x14ac:dyDescent="0.25">
      <c r="AY178" s="7">
        <v>0.27288928854661604</v>
      </c>
      <c r="AZ178" s="7" t="str">
        <f>"0"</f>
        <v>0</v>
      </c>
      <c r="BA178" t="str">
        <f ca="1">IF((OFFSET($A$1, 178 - 1, 51 - 1)) &gt;= (OFFSET($A$1, 68 - 1, 7 - 1)), "1","0")</f>
        <v>0</v>
      </c>
      <c r="BB178">
        <f ca="1" xml:space="preserve"> IF( AND( OFFSET($A$1, 178 - 1, 52 - 1) = "1", OFFSET($A$1, 178 - 1, 53 - 1) = "1" ), 1, IF( AND( OFFSET($A$1, 178 - 1, 52 - 1) = "1", OFFSET($A$1, 178 - 1, 53 - 1) = "0" ), 2, IF( AND( OFFSET($A$1, 178 - 1, 52 - 1) = "0", OFFSET($A$1, 178 - 1, 53 - 1) = "1" ), 3, 4 ) ) )</f>
        <v>4</v>
      </c>
      <c r="BD178" s="7">
        <v>0.19316004682073495</v>
      </c>
      <c r="BE178" s="7" t="str">
        <f>"0"</f>
        <v>0</v>
      </c>
      <c r="BF178" t="str">
        <f ca="1">IF((OFFSET($A$1, 178 - 1, 56 - 1)) &gt;= (OFFSET($A$1, 92 - 1, 7 - 1)), "1","0")</f>
        <v>0</v>
      </c>
      <c r="BG178">
        <f ca="1" xml:space="preserve"> IF( AND( OFFSET($A$1, 178 - 1, 57 - 1) = "1", OFFSET($A$1, 178 - 1, 58 - 1) = "1" ), 1, IF( AND( OFFSET($A$1, 178 - 1, 57 - 1) = "1", OFFSET($A$1, 178 - 1, 58 - 1) = "0" ), 2, IF( AND( OFFSET($A$1, 178 - 1, 57 - 1) = "0", OFFSET($A$1, 178 - 1, 58 - 1) = "1" ), 3, 4 ) ) )</f>
        <v>4</v>
      </c>
    </row>
    <row r="179" spans="51:59" x14ac:dyDescent="0.25">
      <c r="AY179" s="7">
        <v>0.18827350327412662</v>
      </c>
      <c r="AZ179" s="7" t="str">
        <f>"0"</f>
        <v>0</v>
      </c>
      <c r="BA179" t="str">
        <f ca="1">IF((OFFSET($A$1, 179 - 1, 51 - 1)) &gt;= (OFFSET($A$1, 68 - 1, 7 - 1)), "1","0")</f>
        <v>0</v>
      </c>
      <c r="BB179">
        <f ca="1" xml:space="preserve"> IF( AND( OFFSET($A$1, 179 - 1, 52 - 1) = "1", OFFSET($A$1, 179 - 1, 53 - 1) = "1" ), 1, IF( AND( OFFSET($A$1, 179 - 1, 52 - 1) = "1", OFFSET($A$1, 179 - 1, 53 - 1) = "0" ), 2, IF( AND( OFFSET($A$1, 179 - 1, 52 - 1) = "0", OFFSET($A$1, 179 - 1, 53 - 1) = "1" ), 3, 4 ) ) )</f>
        <v>4</v>
      </c>
      <c r="BD179" s="7">
        <v>0.10901612327706026</v>
      </c>
      <c r="BE179" s="7" t="str">
        <f>"0"</f>
        <v>0</v>
      </c>
      <c r="BF179" t="str">
        <f ca="1">IF((OFFSET($A$1, 179 - 1, 56 - 1)) &gt;= (OFFSET($A$1, 92 - 1, 7 - 1)), "1","0")</f>
        <v>0</v>
      </c>
      <c r="BG179">
        <f ca="1" xml:space="preserve"> IF( AND( OFFSET($A$1, 179 - 1, 57 - 1) = "1", OFFSET($A$1, 179 - 1, 58 - 1) = "1" ), 1, IF( AND( OFFSET($A$1, 179 - 1, 57 - 1) = "1", OFFSET($A$1, 179 - 1, 58 - 1) = "0" ), 2, IF( AND( OFFSET($A$1, 179 - 1, 57 - 1) = "0", OFFSET($A$1, 179 - 1, 58 - 1) = "1" ), 3, 4 ) ) )</f>
        <v>4</v>
      </c>
    </row>
    <row r="180" spans="51:59" x14ac:dyDescent="0.25">
      <c r="AY180" s="7">
        <v>0.11727308826383263</v>
      </c>
      <c r="AZ180" s="7" t="str">
        <f>"0"</f>
        <v>0</v>
      </c>
      <c r="BA180" t="str">
        <f ca="1">IF((OFFSET($A$1, 180 - 1, 51 - 1)) &gt;= (OFFSET($A$1, 68 - 1, 7 - 1)), "1","0")</f>
        <v>0</v>
      </c>
      <c r="BB180">
        <f ca="1" xml:space="preserve"> IF( AND( OFFSET($A$1, 180 - 1, 52 - 1) = "1", OFFSET($A$1, 180 - 1, 53 - 1) = "1" ), 1, IF( AND( OFFSET($A$1, 180 - 1, 52 - 1) = "1", OFFSET($A$1, 180 - 1, 53 - 1) = "0" ), 2, IF( AND( OFFSET($A$1, 180 - 1, 52 - 1) = "0", OFFSET($A$1, 180 - 1, 53 - 1) = "1" ), 3, 4 ) ) )</f>
        <v>4</v>
      </c>
      <c r="BD180" s="7">
        <v>0.22449916434440828</v>
      </c>
      <c r="BE180" s="7" t="str">
        <f>"0"</f>
        <v>0</v>
      </c>
      <c r="BF180" t="str">
        <f ca="1">IF((OFFSET($A$1, 180 - 1, 56 - 1)) &gt;= (OFFSET($A$1, 92 - 1, 7 - 1)), "1","0")</f>
        <v>0</v>
      </c>
      <c r="BG180">
        <f ca="1" xml:space="preserve"> IF( AND( OFFSET($A$1, 180 - 1, 57 - 1) = "1", OFFSET($A$1, 180 - 1, 58 - 1) = "1" ), 1, IF( AND( OFFSET($A$1, 180 - 1, 57 - 1) = "1", OFFSET($A$1, 180 - 1, 58 - 1) = "0" ), 2, IF( AND( OFFSET($A$1, 180 - 1, 57 - 1) = "0", OFFSET($A$1, 180 - 1, 58 - 1) = "1" ), 3, 4 ) ) )</f>
        <v>4</v>
      </c>
    </row>
    <row r="181" spans="51:59" x14ac:dyDescent="0.25">
      <c r="AY181" s="7">
        <v>0.18634565085760132</v>
      </c>
      <c r="AZ181" s="7" t="str">
        <f>"1"</f>
        <v>1</v>
      </c>
      <c r="BA181" t="str">
        <f ca="1">IF((OFFSET($A$1, 181 - 1, 51 - 1)) &gt;= (OFFSET($A$1, 68 - 1, 7 - 1)), "1","0")</f>
        <v>0</v>
      </c>
      <c r="BB181">
        <f ca="1" xml:space="preserve"> IF( AND( OFFSET($A$1, 181 - 1, 52 - 1) = "1", OFFSET($A$1, 181 - 1, 53 - 1) = "1" ), 1, IF( AND( OFFSET($A$1, 181 - 1, 52 - 1) = "1", OFFSET($A$1, 181 - 1, 53 - 1) = "0" ), 2, IF( AND( OFFSET($A$1, 181 - 1, 52 - 1) = "0", OFFSET($A$1, 181 - 1, 53 - 1) = "1" ), 3, 4 ) ) )</f>
        <v>2</v>
      </c>
      <c r="BD181" s="7">
        <v>0.20631438947420566</v>
      </c>
      <c r="BE181" s="7" t="str">
        <f>"0"</f>
        <v>0</v>
      </c>
      <c r="BF181" t="str">
        <f ca="1">IF((OFFSET($A$1, 181 - 1, 56 - 1)) &gt;= (OFFSET($A$1, 92 - 1, 7 - 1)), "1","0")</f>
        <v>0</v>
      </c>
      <c r="BG181">
        <f ca="1" xml:space="preserve"> IF( AND( OFFSET($A$1, 181 - 1, 57 - 1) = "1", OFFSET($A$1, 181 - 1, 58 - 1) = "1" ), 1, IF( AND( OFFSET($A$1, 181 - 1, 57 - 1) = "1", OFFSET($A$1, 181 - 1, 58 - 1) = "0" ), 2, IF( AND( OFFSET($A$1, 181 - 1, 57 - 1) = "0", OFFSET($A$1, 181 - 1, 58 - 1) = "1" ), 3, 4 ) ) )</f>
        <v>4</v>
      </c>
    </row>
    <row r="182" spans="51:59" x14ac:dyDescent="0.25">
      <c r="AY182" s="7">
        <v>0.2691362121211332</v>
      </c>
      <c r="AZ182" s="7" t="str">
        <f>"0"</f>
        <v>0</v>
      </c>
      <c r="BA182" t="str">
        <f ca="1">IF((OFFSET($A$1, 182 - 1, 51 - 1)) &gt;= (OFFSET($A$1, 68 - 1, 7 - 1)), "1","0")</f>
        <v>0</v>
      </c>
      <c r="BB182">
        <f ca="1" xml:space="preserve"> IF( AND( OFFSET($A$1, 182 - 1, 52 - 1) = "1", OFFSET($A$1, 182 - 1, 53 - 1) = "1" ), 1, IF( AND( OFFSET($A$1, 182 - 1, 52 - 1) = "1", OFFSET($A$1, 182 - 1, 53 - 1) = "0" ), 2, IF( AND( OFFSET($A$1, 182 - 1, 52 - 1) = "0", OFFSET($A$1, 182 - 1, 53 - 1) = "1" ), 3, 4 ) ) )</f>
        <v>4</v>
      </c>
      <c r="BD182" s="7">
        <v>0.21366725442465345</v>
      </c>
      <c r="BE182" s="7" t="str">
        <f>"0"</f>
        <v>0</v>
      </c>
      <c r="BF182" t="str">
        <f ca="1">IF((OFFSET($A$1, 182 - 1, 56 - 1)) &gt;= (OFFSET($A$1, 92 - 1, 7 - 1)), "1","0")</f>
        <v>0</v>
      </c>
      <c r="BG182">
        <f ca="1" xml:space="preserve"> IF( AND( OFFSET($A$1, 182 - 1, 57 - 1) = "1", OFFSET($A$1, 182 - 1, 58 - 1) = "1" ), 1, IF( AND( OFFSET($A$1, 182 - 1, 57 - 1) = "1", OFFSET($A$1, 182 - 1, 58 - 1) = "0" ), 2, IF( AND( OFFSET($A$1, 182 - 1, 57 - 1) = "0", OFFSET($A$1, 182 - 1, 58 - 1) = "1" ), 3, 4 ) ) )</f>
        <v>4</v>
      </c>
    </row>
    <row r="183" spans="51:59" x14ac:dyDescent="0.25">
      <c r="AY183" s="7">
        <v>0.24030925003217191</v>
      </c>
      <c r="AZ183" s="7" t="str">
        <f>"0"</f>
        <v>0</v>
      </c>
      <c r="BA183" t="str">
        <f ca="1">IF((OFFSET($A$1, 183 - 1, 51 - 1)) &gt;= (OFFSET($A$1, 68 - 1, 7 - 1)), "1","0")</f>
        <v>0</v>
      </c>
      <c r="BB183">
        <f ca="1" xml:space="preserve"> IF( AND( OFFSET($A$1, 183 - 1, 52 - 1) = "1", OFFSET($A$1, 183 - 1, 53 - 1) = "1" ), 1, IF( AND( OFFSET($A$1, 183 - 1, 52 - 1) = "1", OFFSET($A$1, 183 - 1, 53 - 1) = "0" ), 2, IF( AND( OFFSET($A$1, 183 - 1, 52 - 1) = "0", OFFSET($A$1, 183 - 1, 53 - 1) = "1" ), 3, 4 ) ) )</f>
        <v>4</v>
      </c>
      <c r="BD183" s="7">
        <v>0.14378341048428475</v>
      </c>
      <c r="BE183" s="7" t="str">
        <f>"0"</f>
        <v>0</v>
      </c>
      <c r="BF183" t="str">
        <f ca="1">IF((OFFSET($A$1, 183 - 1, 56 - 1)) &gt;= (OFFSET($A$1, 92 - 1, 7 - 1)), "1","0")</f>
        <v>0</v>
      </c>
      <c r="BG183">
        <f ca="1" xml:space="preserve"> IF( AND( OFFSET($A$1, 183 - 1, 57 - 1) = "1", OFFSET($A$1, 183 - 1, 58 - 1) = "1" ), 1, IF( AND( OFFSET($A$1, 183 - 1, 57 - 1) = "1", OFFSET($A$1, 183 - 1, 58 - 1) = "0" ), 2, IF( AND( OFFSET($A$1, 183 - 1, 57 - 1) = "0", OFFSET($A$1, 183 - 1, 58 - 1) = "1" ), 3, 4 ) ) )</f>
        <v>4</v>
      </c>
    </row>
    <row r="184" spans="51:59" x14ac:dyDescent="0.25">
      <c r="AY184" s="7">
        <v>0.21049287747773748</v>
      </c>
      <c r="AZ184" s="7" t="str">
        <f>"0"</f>
        <v>0</v>
      </c>
      <c r="BA184" t="str">
        <f ca="1">IF((OFFSET($A$1, 184 - 1, 51 - 1)) &gt;= (OFFSET($A$1, 68 - 1, 7 - 1)), "1","0")</f>
        <v>0</v>
      </c>
      <c r="BB184">
        <f ca="1" xml:space="preserve"> IF( AND( OFFSET($A$1, 184 - 1, 52 - 1) = "1", OFFSET($A$1, 184 - 1, 53 - 1) = "1" ), 1, IF( AND( OFFSET($A$1, 184 - 1, 52 - 1) = "1", OFFSET($A$1, 184 - 1, 53 - 1) = "0" ), 2, IF( AND( OFFSET($A$1, 184 - 1, 52 - 1) = "0", OFFSET($A$1, 184 - 1, 53 - 1) = "1" ), 3, 4 ) ) )</f>
        <v>4</v>
      </c>
      <c r="BD184" s="7">
        <v>0.22671175430712215</v>
      </c>
      <c r="BE184" s="7" t="str">
        <f>"0"</f>
        <v>0</v>
      </c>
      <c r="BF184" t="str">
        <f ca="1">IF((OFFSET($A$1, 184 - 1, 56 - 1)) &gt;= (OFFSET($A$1, 92 - 1, 7 - 1)), "1","0")</f>
        <v>0</v>
      </c>
      <c r="BG184">
        <f ca="1" xml:space="preserve"> IF( AND( OFFSET($A$1, 184 - 1, 57 - 1) = "1", OFFSET($A$1, 184 - 1, 58 - 1) = "1" ), 1, IF( AND( OFFSET($A$1, 184 - 1, 57 - 1) = "1", OFFSET($A$1, 184 - 1, 58 - 1) = "0" ), 2, IF( AND( OFFSET($A$1, 184 - 1, 57 - 1) = "0", OFFSET($A$1, 184 - 1, 58 - 1) = "1" ), 3, 4 ) ) )</f>
        <v>4</v>
      </c>
    </row>
    <row r="185" spans="51:59" x14ac:dyDescent="0.25">
      <c r="AY185" s="7">
        <v>0.26665235467082504</v>
      </c>
      <c r="AZ185" s="7" t="str">
        <f>"0"</f>
        <v>0</v>
      </c>
      <c r="BA185" t="str">
        <f ca="1">IF((OFFSET($A$1, 185 - 1, 51 - 1)) &gt;= (OFFSET($A$1, 68 - 1, 7 - 1)), "1","0")</f>
        <v>0</v>
      </c>
      <c r="BB185">
        <f ca="1" xml:space="preserve"> IF( AND( OFFSET($A$1, 185 - 1, 52 - 1) = "1", OFFSET($A$1, 185 - 1, 53 - 1) = "1" ), 1, IF( AND( OFFSET($A$1, 185 - 1, 52 - 1) = "1", OFFSET($A$1, 185 - 1, 53 - 1) = "0" ), 2, IF( AND( OFFSET($A$1, 185 - 1, 52 - 1) = "0", OFFSET($A$1, 185 - 1, 53 - 1) = "1" ), 3, 4 ) ) )</f>
        <v>4</v>
      </c>
      <c r="BD185" s="7">
        <v>0.15339374070461942</v>
      </c>
      <c r="BE185" s="7" t="str">
        <f>"0"</f>
        <v>0</v>
      </c>
      <c r="BF185" t="str">
        <f ca="1">IF((OFFSET($A$1, 185 - 1, 56 - 1)) &gt;= (OFFSET($A$1, 92 - 1, 7 - 1)), "1","0")</f>
        <v>0</v>
      </c>
      <c r="BG185">
        <f ca="1" xml:space="preserve"> IF( AND( OFFSET($A$1, 185 - 1, 57 - 1) = "1", OFFSET($A$1, 185 - 1, 58 - 1) = "1" ), 1, IF( AND( OFFSET($A$1, 185 - 1, 57 - 1) = "1", OFFSET($A$1, 185 - 1, 58 - 1) = "0" ), 2, IF( AND( OFFSET($A$1, 185 - 1, 57 - 1) = "0", OFFSET($A$1, 185 - 1, 58 - 1) = "1" ), 3, 4 ) ) )</f>
        <v>4</v>
      </c>
    </row>
    <row r="186" spans="51:59" x14ac:dyDescent="0.25">
      <c r="AY186" s="7">
        <v>0.23457671248419984</v>
      </c>
      <c r="AZ186" s="7" t="str">
        <f>"0"</f>
        <v>0</v>
      </c>
      <c r="BA186" t="str">
        <f ca="1">IF((OFFSET($A$1, 186 - 1, 51 - 1)) &gt;= (OFFSET($A$1, 68 - 1, 7 - 1)), "1","0")</f>
        <v>0</v>
      </c>
      <c r="BB186">
        <f ca="1" xml:space="preserve"> IF( AND( OFFSET($A$1, 186 - 1, 52 - 1) = "1", OFFSET($A$1, 186 - 1, 53 - 1) = "1" ), 1, IF( AND( OFFSET($A$1, 186 - 1, 52 - 1) = "1", OFFSET($A$1, 186 - 1, 53 - 1) = "0" ), 2, IF( AND( OFFSET($A$1, 186 - 1, 52 - 1) = "0", OFFSET($A$1, 186 - 1, 53 - 1) = "1" ), 3, 4 ) ) )</f>
        <v>4</v>
      </c>
      <c r="BD186" s="7">
        <v>0.21366725442465345</v>
      </c>
      <c r="BE186" s="7" t="str">
        <f>"0"</f>
        <v>0</v>
      </c>
      <c r="BF186" t="str">
        <f ca="1">IF((OFFSET($A$1, 186 - 1, 56 - 1)) &gt;= (OFFSET($A$1, 92 - 1, 7 - 1)), "1","0")</f>
        <v>0</v>
      </c>
      <c r="BG186">
        <f ca="1" xml:space="preserve"> IF( AND( OFFSET($A$1, 186 - 1, 57 - 1) = "1", OFFSET($A$1, 186 - 1, 58 - 1) = "1" ), 1, IF( AND( OFFSET($A$1, 186 - 1, 57 - 1) = "1", OFFSET($A$1, 186 - 1, 58 - 1) = "0" ), 2, IF( AND( OFFSET($A$1, 186 - 1, 57 - 1) = "0", OFFSET($A$1, 186 - 1, 58 - 1) = "1" ), 3, 4 ) ) )</f>
        <v>4</v>
      </c>
    </row>
    <row r="187" spans="51:59" x14ac:dyDescent="0.25">
      <c r="AY187" s="7">
        <v>0.16967760689892111</v>
      </c>
      <c r="AZ187" s="7" t="str">
        <f>"0"</f>
        <v>0</v>
      </c>
      <c r="BA187" t="str">
        <f ca="1">IF((OFFSET($A$1, 187 - 1, 51 - 1)) &gt;= (OFFSET($A$1, 68 - 1, 7 - 1)), "1","0")</f>
        <v>0</v>
      </c>
      <c r="BB187">
        <f ca="1" xml:space="preserve"> IF( AND( OFFSET($A$1, 187 - 1, 52 - 1) = "1", OFFSET($A$1, 187 - 1, 53 - 1) = "1" ), 1, IF( AND( OFFSET($A$1, 187 - 1, 52 - 1) = "1", OFFSET($A$1, 187 - 1, 53 - 1) = "0" ), 2, IF( AND( OFFSET($A$1, 187 - 1, 52 - 1) = "0", OFFSET($A$1, 187 - 1, 53 - 1) = "1" ), 3, 4 ) ) )</f>
        <v>4</v>
      </c>
      <c r="BD187" s="7">
        <v>0.20322101952373944</v>
      </c>
      <c r="BE187" s="7" t="str">
        <f>"0"</f>
        <v>0</v>
      </c>
      <c r="BF187" t="str">
        <f ca="1">IF((OFFSET($A$1, 187 - 1, 56 - 1)) &gt;= (OFFSET($A$1, 92 - 1, 7 - 1)), "1","0")</f>
        <v>0</v>
      </c>
      <c r="BG187">
        <f ca="1" xml:space="preserve"> IF( AND( OFFSET($A$1, 187 - 1, 57 - 1) = "1", OFFSET($A$1, 187 - 1, 58 - 1) = "1" ), 1, IF( AND( OFFSET($A$1, 187 - 1, 57 - 1) = "1", OFFSET($A$1, 187 - 1, 58 - 1) = "0" ), 2, IF( AND( OFFSET($A$1, 187 - 1, 57 - 1) = "0", OFFSET($A$1, 187 - 1, 58 - 1) = "1" ), 3, 4 ) ) )</f>
        <v>4</v>
      </c>
    </row>
    <row r="188" spans="51:59" x14ac:dyDescent="0.25">
      <c r="AY188" s="7">
        <v>0.19613797039107672</v>
      </c>
      <c r="AZ188" s="7" t="str">
        <f>"1"</f>
        <v>1</v>
      </c>
      <c r="BA188" t="str">
        <f ca="1">IF((OFFSET($A$1, 188 - 1, 51 - 1)) &gt;= (OFFSET($A$1, 68 - 1, 7 - 1)), "1","0")</f>
        <v>0</v>
      </c>
      <c r="BB188">
        <f ca="1" xml:space="preserve"> IF( AND( OFFSET($A$1, 188 - 1, 52 - 1) = "1", OFFSET($A$1, 188 - 1, 53 - 1) = "1" ), 1, IF( AND( OFFSET($A$1, 188 - 1, 52 - 1) = "1", OFFSET($A$1, 188 - 1, 53 - 1) = "0" ), 2, IF( AND( OFFSET($A$1, 188 - 1, 52 - 1) = "0", OFFSET($A$1, 188 - 1, 53 - 1) = "1" ), 3, 4 ) ) )</f>
        <v>2</v>
      </c>
      <c r="BD188" s="7">
        <v>0.25928887273763362</v>
      </c>
      <c r="BE188" s="7" t="str">
        <f>"0"</f>
        <v>0</v>
      </c>
      <c r="BF188" t="str">
        <f ca="1">IF((OFFSET($A$1, 188 - 1, 56 - 1)) &gt;= (OFFSET($A$1, 92 - 1, 7 - 1)), "1","0")</f>
        <v>0</v>
      </c>
      <c r="BG188">
        <f ca="1" xml:space="preserve"> IF( AND( OFFSET($A$1, 188 - 1, 57 - 1) = "1", OFFSET($A$1, 188 - 1, 58 - 1) = "1" ), 1, IF( AND( OFFSET($A$1, 188 - 1, 57 - 1) = "1", OFFSET($A$1, 188 - 1, 58 - 1) = "0" ), 2, IF( AND( OFFSET($A$1, 188 - 1, 57 - 1) = "0", OFFSET($A$1, 188 - 1, 58 - 1) = "1" ), 3, 4 ) ) )</f>
        <v>4</v>
      </c>
    </row>
    <row r="189" spans="51:59" x14ac:dyDescent="0.25">
      <c r="AY189" s="7">
        <v>0.25445392688573715</v>
      </c>
      <c r="AZ189" s="7" t="str">
        <f>"0"</f>
        <v>0</v>
      </c>
      <c r="BA189" t="str">
        <f ca="1">IF((OFFSET($A$1, 189 - 1, 51 - 1)) &gt;= (OFFSET($A$1, 68 - 1, 7 - 1)), "1","0")</f>
        <v>0</v>
      </c>
      <c r="BB189">
        <f ca="1" xml:space="preserve"> IF( AND( OFFSET($A$1, 189 - 1, 52 - 1) = "1", OFFSET($A$1, 189 - 1, 53 - 1) = "1" ), 1, IF( AND( OFFSET($A$1, 189 - 1, 52 - 1) = "1", OFFSET($A$1, 189 - 1, 53 - 1) = "0" ), 2, IF( AND( OFFSET($A$1, 189 - 1, 52 - 1) = "0", OFFSET($A$1, 189 - 1, 53 - 1) = "1" ), 3, 4 ) ) )</f>
        <v>4</v>
      </c>
      <c r="BD189" s="7">
        <v>0.20944246859479526</v>
      </c>
      <c r="BE189" s="7" t="str">
        <f>"0"</f>
        <v>0</v>
      </c>
      <c r="BF189" t="str">
        <f ca="1">IF((OFFSET($A$1, 189 - 1, 56 - 1)) &gt;= (OFFSET($A$1, 92 - 1, 7 - 1)), "1","0")</f>
        <v>0</v>
      </c>
      <c r="BG189">
        <f ca="1" xml:space="preserve"> IF( AND( OFFSET($A$1, 189 - 1, 57 - 1) = "1", OFFSET($A$1, 189 - 1, 58 - 1) = "1" ), 1, IF( AND( OFFSET($A$1, 189 - 1, 57 - 1) = "1", OFFSET($A$1, 189 - 1, 58 - 1) = "0" ), 2, IF( AND( OFFSET($A$1, 189 - 1, 57 - 1) = "0", OFFSET($A$1, 189 - 1, 58 - 1) = "1" ), 3, 4 ) ) )</f>
        <v>4</v>
      </c>
    </row>
    <row r="190" spans="51:59" x14ac:dyDescent="0.25">
      <c r="AY190" s="7">
        <v>0.20631438947420566</v>
      </c>
      <c r="AZ190" s="7" t="str">
        <f>"0"</f>
        <v>0</v>
      </c>
      <c r="BA190" t="str">
        <f ca="1">IF((OFFSET($A$1, 190 - 1, 51 - 1)) &gt;= (OFFSET($A$1, 68 - 1, 7 - 1)), "1","0")</f>
        <v>0</v>
      </c>
      <c r="BB190">
        <f ca="1" xml:space="preserve"> IF( AND( OFFSET($A$1, 190 - 1, 52 - 1) = "1", OFFSET($A$1, 190 - 1, 53 - 1) = "1" ), 1, IF( AND( OFFSET($A$1, 190 - 1, 52 - 1) = "1", OFFSET($A$1, 190 - 1, 53 - 1) = "0" ), 2, IF( AND( OFFSET($A$1, 190 - 1, 52 - 1) = "0", OFFSET($A$1, 190 - 1, 53 - 1) = "1" ), 3, 4 ) ) )</f>
        <v>4</v>
      </c>
      <c r="BD190" s="7">
        <v>0.15671205196085616</v>
      </c>
      <c r="BE190" s="7" t="str">
        <f>"0"</f>
        <v>0</v>
      </c>
      <c r="BF190" t="str">
        <f ca="1">IF((OFFSET($A$1, 190 - 1, 56 - 1)) &gt;= (OFFSET($A$1, 92 - 1, 7 - 1)), "1","0")</f>
        <v>0</v>
      </c>
      <c r="BG190">
        <f ca="1" xml:space="preserve"> IF( AND( OFFSET($A$1, 190 - 1, 57 - 1) = "1", OFFSET($A$1, 190 - 1, 58 - 1) = "1" ), 1, IF( AND( OFFSET($A$1, 190 - 1, 57 - 1) = "1", OFFSET($A$1, 190 - 1, 58 - 1) = "0" ), 2, IF( AND( OFFSET($A$1, 190 - 1, 57 - 1) = "0", OFFSET($A$1, 190 - 1, 58 - 1) = "1" ), 3, 4 ) ) )</f>
        <v>4</v>
      </c>
    </row>
    <row r="191" spans="51:59" x14ac:dyDescent="0.25">
      <c r="AY191" s="7">
        <v>0.2779439374646816</v>
      </c>
      <c r="AZ191" s="7" t="str">
        <f>"0"</f>
        <v>0</v>
      </c>
      <c r="BA191" t="str">
        <f ca="1">IF((OFFSET($A$1, 191 - 1, 51 - 1)) &gt;= (OFFSET($A$1, 68 - 1, 7 - 1)), "1","0")</f>
        <v>0</v>
      </c>
      <c r="BB191">
        <f ca="1" xml:space="preserve"> IF( AND( OFFSET($A$1, 191 - 1, 52 - 1) = "1", OFFSET($A$1, 191 - 1, 53 - 1) = "1" ), 1, IF( AND( OFFSET($A$1, 191 - 1, 52 - 1) = "1", OFFSET($A$1, 191 - 1, 53 - 1) = "0" ), 2, IF( AND( OFFSET($A$1, 191 - 1, 52 - 1) = "0", OFFSET($A$1, 191 - 1, 53 - 1) = "1" ), 3, 4 ) ) )</f>
        <v>4</v>
      </c>
      <c r="BD191" s="7">
        <v>0.12817483232473822</v>
      </c>
      <c r="BE191" s="7" t="str">
        <f>"0"</f>
        <v>0</v>
      </c>
      <c r="BF191" t="str">
        <f ca="1">IF((OFFSET($A$1, 191 - 1, 56 - 1)) &gt;= (OFFSET($A$1, 92 - 1, 7 - 1)), "1","0")</f>
        <v>0</v>
      </c>
      <c r="BG191">
        <f ca="1" xml:space="preserve"> IF( AND( OFFSET($A$1, 191 - 1, 57 - 1) = "1", OFFSET($A$1, 191 - 1, 58 - 1) = "1" ), 1, IF( AND( OFFSET($A$1, 191 - 1, 57 - 1) = "1", OFFSET($A$1, 191 - 1, 58 - 1) = "0" ), 2, IF( AND( OFFSET($A$1, 191 - 1, 57 - 1) = "0", OFFSET($A$1, 191 - 1, 58 - 1) = "1" ), 3, 4 ) ) )</f>
        <v>4</v>
      </c>
    </row>
    <row r="192" spans="51:59" x14ac:dyDescent="0.25">
      <c r="AY192" s="7">
        <v>0.22560353707599728</v>
      </c>
      <c r="AZ192" s="7" t="str">
        <f>"0"</f>
        <v>0</v>
      </c>
      <c r="BA192" t="str">
        <f ca="1">IF((OFFSET($A$1, 192 - 1, 51 - 1)) &gt;= (OFFSET($A$1, 68 - 1, 7 - 1)), "1","0")</f>
        <v>0</v>
      </c>
      <c r="BB192">
        <f ca="1" xml:space="preserve"> IF( AND( OFFSET($A$1, 192 - 1, 52 - 1) = "1", OFFSET($A$1, 192 - 1, 53 - 1) = "1" ), 1, IF( AND( OFFSET($A$1, 192 - 1, 52 - 1) = "1", OFFSET($A$1, 192 - 1, 53 - 1) = "0" ), 2, IF( AND( OFFSET($A$1, 192 - 1, 52 - 1) = "0", OFFSET($A$1, 192 - 1, 53 - 1) = "1" ), 3, 4 ) ) )</f>
        <v>4</v>
      </c>
      <c r="BD192" s="7">
        <v>0.21580279613996525</v>
      </c>
      <c r="BE192" s="7" t="str">
        <f>"0"</f>
        <v>0</v>
      </c>
      <c r="BF192" t="str">
        <f ca="1">IF((OFFSET($A$1, 192 - 1, 56 - 1)) &gt;= (OFFSET($A$1, 92 - 1, 7 - 1)), "1","0")</f>
        <v>0</v>
      </c>
      <c r="BG192">
        <f ca="1" xml:space="preserve"> IF( AND( OFFSET($A$1, 192 - 1, 57 - 1) = "1", OFFSET($A$1, 192 - 1, 58 - 1) = "1" ), 1, IF( AND( OFFSET($A$1, 192 - 1, 57 - 1) = "1", OFFSET($A$1, 192 - 1, 58 - 1) = "0" ), 2, IF( AND( OFFSET($A$1, 192 - 1, 57 - 1) = "0", OFFSET($A$1, 192 - 1, 58 - 1) = "1" ), 3, 4 ) ) )</f>
        <v>4</v>
      </c>
    </row>
    <row r="193" spans="51:59" x14ac:dyDescent="0.25">
      <c r="AY193" s="7">
        <v>0.20839591789254663</v>
      </c>
      <c r="AZ193" s="7" t="str">
        <f>"0"</f>
        <v>0</v>
      </c>
      <c r="BA193" t="str">
        <f ca="1">IF((OFFSET($A$1, 193 - 1, 51 - 1)) &gt;= (OFFSET($A$1, 68 - 1, 7 - 1)), "1","0")</f>
        <v>0</v>
      </c>
      <c r="BB193">
        <f ca="1" xml:space="preserve"> IF( AND( OFFSET($A$1, 193 - 1, 52 - 1) = "1", OFFSET($A$1, 193 - 1, 53 - 1) = "1" ), 1, IF( AND( OFFSET($A$1, 193 - 1, 52 - 1) = "1", OFFSET($A$1, 193 - 1, 53 - 1) = "0" ), 2, IF( AND( OFFSET($A$1, 193 - 1, 52 - 1) = "0", OFFSET($A$1, 193 - 1, 53 - 1) = "1" ), 3, 4 ) ) )</f>
        <v>4</v>
      </c>
      <c r="BD193" s="7">
        <v>0.22012015701298474</v>
      </c>
      <c r="BE193" s="7" t="str">
        <f>"0"</f>
        <v>0</v>
      </c>
      <c r="BF193" t="str">
        <f ca="1">IF((OFFSET($A$1, 193 - 1, 56 - 1)) &gt;= (OFFSET($A$1, 92 - 1, 7 - 1)), "1","0")</f>
        <v>0</v>
      </c>
      <c r="BG193">
        <f ca="1" xml:space="preserve"> IF( AND( OFFSET($A$1, 193 - 1, 57 - 1) = "1", OFFSET($A$1, 193 - 1, 58 - 1) = "1" ), 1, IF( AND( OFFSET($A$1, 193 - 1, 57 - 1) = "1", OFFSET($A$1, 193 - 1, 58 - 1) = "0" ), 2, IF( AND( OFFSET($A$1, 193 - 1, 57 - 1) = "0", OFFSET($A$1, 193 - 1, 58 - 1) = "1" ), 3, 4 ) ) )</f>
        <v>4</v>
      </c>
    </row>
    <row r="194" spans="51:59" x14ac:dyDescent="0.25">
      <c r="AY194" s="7">
        <v>0.13841212205338652</v>
      </c>
      <c r="AZ194" s="7" t="str">
        <f>"0"</f>
        <v>0</v>
      </c>
      <c r="BA194" t="str">
        <f ca="1">IF((OFFSET($A$1, 194 - 1, 51 - 1)) &gt;= (OFFSET($A$1, 68 - 1, 7 - 1)), "1","0")</f>
        <v>0</v>
      </c>
      <c r="BB194">
        <f ca="1" xml:space="preserve"> IF( AND( OFFSET($A$1, 194 - 1, 52 - 1) = "1", OFFSET($A$1, 194 - 1, 53 - 1) = "1" ), 1, IF( AND( OFFSET($A$1, 194 - 1, 52 - 1) = "1", OFFSET($A$1, 194 - 1, 53 - 1) = "0" ), 2, IF( AND( OFFSET($A$1, 194 - 1, 52 - 1) = "0", OFFSET($A$1, 194 - 1, 53 - 1) = "1" ), 3, 4 ) ) )</f>
        <v>4</v>
      </c>
      <c r="BD194" s="7">
        <v>0.16352373764916295</v>
      </c>
      <c r="BE194" s="7" t="str">
        <f>"0"</f>
        <v>0</v>
      </c>
      <c r="BF194" t="str">
        <f ca="1">IF((OFFSET($A$1, 194 - 1, 56 - 1)) &gt;= (OFFSET($A$1, 92 - 1, 7 - 1)), "1","0")</f>
        <v>0</v>
      </c>
      <c r="BG194">
        <f ca="1" xml:space="preserve"> IF( AND( OFFSET($A$1, 194 - 1, 57 - 1) = "1", OFFSET($A$1, 194 - 1, 58 - 1) = "1" ), 1, IF( AND( OFFSET($A$1, 194 - 1, 57 - 1) = "1", OFFSET($A$1, 194 - 1, 58 - 1) = "0" ), 2, IF( AND( OFFSET($A$1, 194 - 1, 57 - 1) = "0", OFFSET($A$1, 194 - 1, 58 - 1) = "1" ), 3, 4 ) ) )</f>
        <v>4</v>
      </c>
    </row>
    <row r="195" spans="51:59" x14ac:dyDescent="0.25">
      <c r="AY195" s="7">
        <v>0.20117804359590838</v>
      </c>
      <c r="AZ195" s="7" t="str">
        <f>"1"</f>
        <v>1</v>
      </c>
      <c r="BA195" t="str">
        <f ca="1">IF((OFFSET($A$1, 195 - 1, 51 - 1)) &gt;= (OFFSET($A$1, 68 - 1, 7 - 1)), "1","0")</f>
        <v>0</v>
      </c>
      <c r="BB195">
        <f ca="1" xml:space="preserve"> IF( AND( OFFSET($A$1, 195 - 1, 52 - 1) = "1", OFFSET($A$1, 195 - 1, 53 - 1) = "1" ), 1, IF( AND( OFFSET($A$1, 195 - 1, 52 - 1) = "1", OFFSET($A$1, 195 - 1, 53 - 1) = "0" ), 2, IF( AND( OFFSET($A$1, 195 - 1, 52 - 1) = "0", OFFSET($A$1, 195 - 1, 53 - 1) = "1" ), 3, 4 ) ) )</f>
        <v>2</v>
      </c>
      <c r="BD195" s="7">
        <v>0.15587703439121409</v>
      </c>
      <c r="BE195" s="7" t="str">
        <f>"0"</f>
        <v>0</v>
      </c>
      <c r="BF195" t="str">
        <f ca="1">IF((OFFSET($A$1, 195 - 1, 56 - 1)) &gt;= (OFFSET($A$1, 92 - 1, 7 - 1)), "1","0")</f>
        <v>0</v>
      </c>
      <c r="BG195">
        <f ca="1" xml:space="preserve"> IF( AND( OFFSET($A$1, 195 - 1, 57 - 1) = "1", OFFSET($A$1, 195 - 1, 58 - 1) = "1" ), 1, IF( AND( OFFSET($A$1, 195 - 1, 57 - 1) = "1", OFFSET($A$1, 195 - 1, 58 - 1) = "0" ), 2, IF( AND( OFFSET($A$1, 195 - 1, 57 - 1) = "0", OFFSET($A$1, 195 - 1, 58 - 1) = "1" ), 3, 4 ) ) )</f>
        <v>4</v>
      </c>
    </row>
    <row r="196" spans="51:59" x14ac:dyDescent="0.25">
      <c r="AY196" s="7">
        <v>0.21154714473978944</v>
      </c>
      <c r="AZ196" s="7" t="str">
        <f>"0"</f>
        <v>0</v>
      </c>
      <c r="BA196" t="str">
        <f ca="1">IF((OFFSET($A$1, 196 - 1, 51 - 1)) &gt;= (OFFSET($A$1, 68 - 1, 7 - 1)), "1","0")</f>
        <v>0</v>
      </c>
      <c r="BB196">
        <f ca="1" xml:space="preserve"> IF( AND( OFFSET($A$1, 196 - 1, 52 - 1) = "1", OFFSET($A$1, 196 - 1, 53 - 1) = "1" ), 1, IF( AND( OFFSET($A$1, 196 - 1, 52 - 1) = "1", OFFSET($A$1, 196 - 1, 53 - 1) = "0" ), 2, IF( AND( OFFSET($A$1, 196 - 1, 52 - 1) = "0", OFFSET($A$1, 196 - 1, 53 - 1) = "1" ), 3, 4 ) ) )</f>
        <v>4</v>
      </c>
      <c r="BD196" s="7">
        <v>0.17327608298152103</v>
      </c>
      <c r="BE196" s="7" t="str">
        <f>"0"</f>
        <v>0</v>
      </c>
      <c r="BF196" t="str">
        <f ca="1">IF((OFFSET($A$1, 196 - 1, 56 - 1)) &gt;= (OFFSET($A$1, 92 - 1, 7 - 1)), "1","0")</f>
        <v>0</v>
      </c>
      <c r="BG196">
        <f ca="1" xml:space="preserve"> IF( AND( OFFSET($A$1, 196 - 1, 57 - 1) = "1", OFFSET($A$1, 196 - 1, 58 - 1) = "1" ), 1, IF( AND( OFFSET($A$1, 196 - 1, 57 - 1) = "1", OFFSET($A$1, 196 - 1, 58 - 1) = "0" ), 2, IF( AND( OFFSET($A$1, 196 - 1, 57 - 1) = "0", OFFSET($A$1, 196 - 1, 58 - 1) = "1" ), 3, 4 ) ) )</f>
        <v>4</v>
      </c>
    </row>
    <row r="197" spans="51:59" x14ac:dyDescent="0.25">
      <c r="AY197" s="7">
        <v>0.26418313464112936</v>
      </c>
      <c r="AZ197" s="7" t="str">
        <f>"0"</f>
        <v>0</v>
      </c>
      <c r="BA197" t="str">
        <f ca="1">IF((OFFSET($A$1, 197 - 1, 51 - 1)) &gt;= (OFFSET($A$1, 68 - 1, 7 - 1)), "1","0")</f>
        <v>0</v>
      </c>
      <c r="BB197">
        <f ca="1" xml:space="preserve"> IF( AND( OFFSET($A$1, 197 - 1, 52 - 1) = "1", OFFSET($A$1, 197 - 1, 53 - 1) = "1" ), 1, IF( AND( OFFSET($A$1, 197 - 1, 52 - 1) = "1", OFFSET($A$1, 197 - 1, 53 - 1) = "0" ), 2, IF( AND( OFFSET($A$1, 197 - 1, 52 - 1) = "0", OFFSET($A$1, 197 - 1, 53 - 1) = "1" ), 3, 4 ) ) )</f>
        <v>4</v>
      </c>
      <c r="BD197" s="7">
        <v>0.27414755442294014</v>
      </c>
      <c r="BE197" s="7" t="str">
        <f>"0"</f>
        <v>0</v>
      </c>
      <c r="BF197" t="str">
        <f ca="1">IF((OFFSET($A$1, 197 - 1, 56 - 1)) &gt;= (OFFSET($A$1, 92 - 1, 7 - 1)), "1","0")</f>
        <v>0</v>
      </c>
      <c r="BG197">
        <f ca="1" xml:space="preserve"> IF( AND( OFFSET($A$1, 197 - 1, 57 - 1) = "1", OFFSET($A$1, 197 - 1, 58 - 1) = "1" ), 1, IF( AND( OFFSET($A$1, 197 - 1, 57 - 1) = "1", OFFSET($A$1, 197 - 1, 58 - 1) = "0" ), 2, IF( AND( OFFSET($A$1, 197 - 1, 57 - 1) = "0", OFFSET($A$1, 197 - 1, 58 - 1) = "1" ), 3, 4 ) ) )</f>
        <v>4</v>
      </c>
    </row>
    <row r="198" spans="51:59" x14ac:dyDescent="0.25">
      <c r="AY198" s="7">
        <v>0.21795376586115467</v>
      </c>
      <c r="AZ198" s="7" t="str">
        <f>"0"</f>
        <v>0</v>
      </c>
      <c r="BA198" t="str">
        <f ca="1">IF((OFFSET($A$1, 198 - 1, 51 - 1)) &gt;= (OFFSET($A$1, 68 - 1, 7 - 1)), "1","0")</f>
        <v>0</v>
      </c>
      <c r="BB198">
        <f ca="1" xml:space="preserve"> IF( AND( OFFSET($A$1, 198 - 1, 52 - 1) = "1", OFFSET($A$1, 198 - 1, 53 - 1) = "1" ), 1, IF( AND( OFFSET($A$1, 198 - 1, 52 - 1) = "1", OFFSET($A$1, 198 - 1, 53 - 1) = "0" ), 2, IF( AND( OFFSET($A$1, 198 - 1, 52 - 1) = "0", OFFSET($A$1, 198 - 1, 53 - 1) = "1" ), 3, 4 ) ) )</f>
        <v>4</v>
      </c>
      <c r="BD198" s="7">
        <v>0.24967874791753278</v>
      </c>
      <c r="BE198" s="7" t="str">
        <f>"0"</f>
        <v>0</v>
      </c>
      <c r="BF198" t="str">
        <f ca="1">IF((OFFSET($A$1, 198 - 1, 56 - 1)) &gt;= (OFFSET($A$1, 92 - 1, 7 - 1)), "1","0")</f>
        <v>0</v>
      </c>
      <c r="BG198">
        <f ca="1" xml:space="preserve"> IF( AND( OFFSET($A$1, 198 - 1, 57 - 1) = "1", OFFSET($A$1, 198 - 1, 58 - 1) = "1" ), 1, IF( AND( OFFSET($A$1, 198 - 1, 57 - 1) = "1", OFFSET($A$1, 198 - 1, 58 - 1) = "0" ), 2, IF( AND( OFFSET($A$1, 198 - 1, 57 - 1) = "0", OFFSET($A$1, 198 - 1, 58 - 1) = "1" ), 3, 4 ) ) )</f>
        <v>4</v>
      </c>
    </row>
    <row r="199" spans="51:59" x14ac:dyDescent="0.25">
      <c r="AY199" s="7">
        <v>0.14300559915345581</v>
      </c>
      <c r="AZ199" s="7" t="str">
        <f>"0"</f>
        <v>0</v>
      </c>
      <c r="BA199" t="str">
        <f ca="1">IF((OFFSET($A$1, 199 - 1, 51 - 1)) &gt;= (OFFSET($A$1, 68 - 1, 7 - 1)), "1","0")</f>
        <v>0</v>
      </c>
      <c r="BB199">
        <f ca="1" xml:space="preserve"> IF( AND( OFFSET($A$1, 199 - 1, 52 - 1) = "1", OFFSET($A$1, 199 - 1, 53 - 1) = "1" ), 1, IF( AND( OFFSET($A$1, 199 - 1, 52 - 1) = "1", OFFSET($A$1, 199 - 1, 53 - 1) = "0" ), 2, IF( AND( OFFSET($A$1, 199 - 1, 52 - 1) = "0", OFFSET($A$1, 199 - 1, 53 - 1) = "1" ), 3, 4 ) ) )</f>
        <v>4</v>
      </c>
      <c r="BD199" s="7">
        <v>0.19316004682073495</v>
      </c>
      <c r="BE199" s="7" t="str">
        <f>"0"</f>
        <v>0</v>
      </c>
      <c r="BF199" t="str">
        <f ca="1">IF((OFFSET($A$1, 199 - 1, 56 - 1)) &gt;= (OFFSET($A$1, 92 - 1, 7 - 1)), "1","0")</f>
        <v>0</v>
      </c>
      <c r="BG199">
        <f ca="1" xml:space="preserve"> IF( AND( OFFSET($A$1, 199 - 1, 57 - 1) = "1", OFFSET($A$1, 199 - 1, 58 - 1) = "1" ), 1, IF( AND( OFFSET($A$1, 199 - 1, 57 - 1) = "1", OFFSET($A$1, 199 - 1, 58 - 1) = "0" ), 2, IF( AND( OFFSET($A$1, 199 - 1, 57 - 1) = "0", OFFSET($A$1, 199 - 1, 58 - 1) = "1" ), 3, 4 ) ) )</f>
        <v>4</v>
      </c>
    </row>
    <row r="200" spans="51:59" x14ac:dyDescent="0.25">
      <c r="AY200" s="7">
        <v>0.13916900654618838</v>
      </c>
      <c r="AZ200" s="7" t="str">
        <f>"0"</f>
        <v>0</v>
      </c>
      <c r="BA200" t="str">
        <f ca="1">IF((OFFSET($A$1, 200 - 1, 51 - 1)) &gt;= (OFFSET($A$1, 68 - 1, 7 - 1)), "1","0")</f>
        <v>0</v>
      </c>
      <c r="BB200">
        <f ca="1" xml:space="preserve"> IF( AND( OFFSET($A$1, 200 - 1, 52 - 1) = "1", OFFSET($A$1, 200 - 1, 53 - 1) = "1" ), 1, IF( AND( OFFSET($A$1, 200 - 1, 52 - 1) = "1", OFFSET($A$1, 200 - 1, 53 - 1) = "0" ), 2, IF( AND( OFFSET($A$1, 200 - 1, 52 - 1) = "0", OFFSET($A$1, 200 - 1, 53 - 1) = "1" ), 3, 4 ) ) )</f>
        <v>4</v>
      </c>
      <c r="BD200" s="7">
        <v>0.16352373764916295</v>
      </c>
      <c r="BE200" s="7" t="str">
        <f>"0"</f>
        <v>0</v>
      </c>
      <c r="BF200" t="str">
        <f ca="1">IF((OFFSET($A$1, 200 - 1, 56 - 1)) &gt;= (OFFSET($A$1, 92 - 1, 7 - 1)), "1","0")</f>
        <v>0</v>
      </c>
      <c r="BG200">
        <f ca="1" xml:space="preserve"> IF( AND( OFFSET($A$1, 200 - 1, 57 - 1) = "1", OFFSET($A$1, 200 - 1, 58 - 1) = "1" ), 1, IF( AND( OFFSET($A$1, 200 - 1, 57 - 1) = "1", OFFSET($A$1, 200 - 1, 58 - 1) = "0" ), 2, IF( AND( OFFSET($A$1, 200 - 1, 57 - 1) = "0", OFFSET($A$1, 200 - 1, 58 - 1) = "1" ), 3, 4 ) ) )</f>
        <v>4</v>
      </c>
    </row>
    <row r="201" spans="51:59" x14ac:dyDescent="0.25">
      <c r="AY201" s="7">
        <v>0.23118302117627954</v>
      </c>
      <c r="AZ201" s="7" t="str">
        <f>"0"</f>
        <v>0</v>
      </c>
      <c r="BA201" t="str">
        <f ca="1">IF((OFFSET($A$1, 201 - 1, 51 - 1)) &gt;= (OFFSET($A$1, 68 - 1, 7 - 1)), "1","0")</f>
        <v>0</v>
      </c>
      <c r="BB201">
        <f ca="1" xml:space="preserve"> IF( AND( OFFSET($A$1, 201 - 1, 52 - 1) = "1", OFFSET($A$1, 201 - 1, 53 - 1) = "1" ), 1, IF( AND( OFFSET($A$1, 201 - 1, 52 - 1) = "1", OFFSET($A$1, 201 - 1, 53 - 1) = "0" ), 2, IF( AND( OFFSET($A$1, 201 - 1, 52 - 1) = "0", OFFSET($A$1, 201 - 1, 53 - 1) = "1" ), 3, 4 ) ) )</f>
        <v>4</v>
      </c>
    </row>
    <row r="202" spans="51:59" x14ac:dyDescent="0.25">
      <c r="AY202" s="7">
        <v>0.21687635285058307</v>
      </c>
      <c r="AZ202" s="7" t="str">
        <f>"1"</f>
        <v>1</v>
      </c>
      <c r="BA202" t="str">
        <f ca="1">IF((OFFSET($A$1, 202 - 1, 51 - 1)) &gt;= (OFFSET($A$1, 68 - 1, 7 - 1)), "1","0")</f>
        <v>0</v>
      </c>
      <c r="BB202">
        <f ca="1" xml:space="preserve"> IF( AND( OFFSET($A$1, 202 - 1, 52 - 1) = "1", OFFSET($A$1, 202 - 1, 53 - 1) = "1" ), 1, IF( AND( OFFSET($A$1, 202 - 1, 52 - 1) = "1", OFFSET($A$1, 202 - 1, 53 - 1) = "0" ), 2, IF( AND( OFFSET($A$1, 202 - 1, 52 - 1) = "0", OFFSET($A$1, 202 - 1, 53 - 1) = "1" ), 3, 4 ) ) )</f>
        <v>2</v>
      </c>
    </row>
    <row r="203" spans="51:59" x14ac:dyDescent="0.25">
      <c r="AY203" s="7">
        <v>0.25686395597265166</v>
      </c>
      <c r="AZ203" s="7" t="str">
        <f>"0"</f>
        <v>0</v>
      </c>
      <c r="BA203" t="str">
        <f ca="1">IF((OFFSET($A$1, 203 - 1, 51 - 1)) &gt;= (OFFSET($A$1, 68 - 1, 7 - 1)), "1","0")</f>
        <v>0</v>
      </c>
      <c r="BB203">
        <f ca="1" xml:space="preserve"> IF( AND( OFFSET($A$1, 203 - 1, 52 - 1) = "1", OFFSET($A$1, 203 - 1, 53 - 1) = "1" ), 1, IF( AND( OFFSET($A$1, 203 - 1, 52 - 1) = "1", OFFSET($A$1, 203 - 1, 53 - 1) = "0" ), 2, IF( AND( OFFSET($A$1, 203 - 1, 52 - 1) = "0", OFFSET($A$1, 203 - 1, 53 - 1) = "1" ), 3, 4 ) ) )</f>
        <v>4</v>
      </c>
    </row>
    <row r="204" spans="51:59" x14ac:dyDescent="0.25">
      <c r="AY204" s="7">
        <v>0.21473309647067179</v>
      </c>
      <c r="AZ204" s="7" t="str">
        <f>"0"</f>
        <v>0</v>
      </c>
      <c r="BA204" t="str">
        <f ca="1">IF((OFFSET($A$1, 204 - 1, 51 - 1)) &gt;= (OFFSET($A$1, 68 - 1, 7 - 1)), "1","0")</f>
        <v>0</v>
      </c>
      <c r="BB204">
        <f ca="1" xml:space="preserve"> IF( AND( OFFSET($A$1, 204 - 1, 52 - 1) = "1", OFFSET($A$1, 204 - 1, 53 - 1) = "1" ), 1, IF( AND( OFFSET($A$1, 204 - 1, 52 - 1) = "1", OFFSET($A$1, 204 - 1, 53 - 1) = "0" ), 2, IF( AND( OFFSET($A$1, 204 - 1, 52 - 1) = "0", OFFSET($A$1, 204 - 1, 53 - 1) = "1" ), 3, 4 ) ) )</f>
        <v>4</v>
      </c>
    </row>
    <row r="205" spans="51:59" x14ac:dyDescent="0.25">
      <c r="AY205" s="7">
        <v>0.21903503426978932</v>
      </c>
      <c r="AZ205" s="7" t="str">
        <f>"1"</f>
        <v>1</v>
      </c>
      <c r="BA205" t="str">
        <f ca="1">IF((OFFSET($A$1, 205 - 1, 51 - 1)) &gt;= (OFFSET($A$1, 68 - 1, 7 - 1)), "1","0")</f>
        <v>0</v>
      </c>
      <c r="BB205">
        <f ca="1" xml:space="preserve"> IF( AND( OFFSET($A$1, 205 - 1, 52 - 1) = "1", OFFSET($A$1, 205 - 1, 53 - 1) = "1" ), 1, IF( AND( OFFSET($A$1, 205 - 1, 52 - 1) = "1", OFFSET($A$1, 205 - 1, 53 - 1) = "0" ), 2, IF( AND( OFFSET($A$1, 205 - 1, 52 - 1) = "0", OFFSET($A$1, 205 - 1, 53 - 1) = "1" ), 3, 4 ) ) )</f>
        <v>2</v>
      </c>
    </row>
    <row r="206" spans="51:59" x14ac:dyDescent="0.25">
      <c r="AY206" s="7">
        <v>0.25205884028454301</v>
      </c>
      <c r="AZ206" s="7" t="str">
        <f>"0"</f>
        <v>0</v>
      </c>
      <c r="BA206" t="str">
        <f ca="1">IF((OFFSET($A$1, 206 - 1, 51 - 1)) &gt;= (OFFSET($A$1, 68 - 1, 7 - 1)), "1","0")</f>
        <v>0</v>
      </c>
      <c r="BB206">
        <f ca="1" xml:space="preserve"> IF( AND( OFFSET($A$1, 206 - 1, 52 - 1) = "1", OFFSET($A$1, 206 - 1, 53 - 1) = "1" ), 1, IF( AND( OFFSET($A$1, 206 - 1, 52 - 1) = "1", OFFSET($A$1, 206 - 1, 53 - 1) = "0" ), 2, IF( AND( OFFSET($A$1, 206 - 1, 52 - 1) = "0", OFFSET($A$1, 206 - 1, 53 - 1) = "1" ), 3, 4 ) ) )</f>
        <v>4</v>
      </c>
    </row>
    <row r="207" spans="51:59" x14ac:dyDescent="0.25">
      <c r="AY207" s="7">
        <v>0.17878649595951862</v>
      </c>
      <c r="AZ207" s="7" t="str">
        <f>"0"</f>
        <v>0</v>
      </c>
      <c r="BA207" t="str">
        <f ca="1">IF((OFFSET($A$1, 207 - 1, 51 - 1)) &gt;= (OFFSET($A$1, 68 - 1, 7 - 1)), "1","0")</f>
        <v>0</v>
      </c>
      <c r="BB207">
        <f ca="1" xml:space="preserve"> IF( AND( OFFSET($A$1, 207 - 1, 52 - 1) = "1", OFFSET($A$1, 207 - 1, 53 - 1) = "1" ), 1, IF( AND( OFFSET($A$1, 207 - 1, 52 - 1) = "1", OFFSET($A$1, 207 - 1, 53 - 1) = "0" ), 2, IF( AND( OFFSET($A$1, 207 - 1, 52 - 1) = "0", OFFSET($A$1, 207 - 1, 53 - 1) = "1" ), 3, 4 ) ) )</f>
        <v>4</v>
      </c>
    </row>
    <row r="208" spans="51:59" x14ac:dyDescent="0.25">
      <c r="AY208" s="7">
        <v>0.23231042411848823</v>
      </c>
      <c r="AZ208" s="7" t="str">
        <f>"0"</f>
        <v>0</v>
      </c>
      <c r="BA208" t="str">
        <f ca="1">IF((OFFSET($A$1, 208 - 1, 51 - 1)) &gt;= (OFFSET($A$1, 68 - 1, 7 - 1)), "1","0")</f>
        <v>0</v>
      </c>
      <c r="BB208">
        <f ca="1" xml:space="preserve"> IF( AND( OFFSET($A$1, 208 - 1, 52 - 1) = "1", OFFSET($A$1, 208 - 1, 53 - 1) = "1" ), 1, IF( AND( OFFSET($A$1, 208 - 1, 52 - 1) = "1", OFFSET($A$1, 208 - 1, 53 - 1) = "0" ), 2, IF( AND( OFFSET($A$1, 208 - 1, 52 - 1) = "0", OFFSET($A$1, 208 - 1, 53 - 1) = "1" ), 3, 4 ) ) )</f>
        <v>4</v>
      </c>
    </row>
    <row r="209" spans="51:54" x14ac:dyDescent="0.25">
      <c r="AY209" s="7">
        <v>0.12606695469913834</v>
      </c>
      <c r="AZ209" s="7" t="str">
        <f>"0"</f>
        <v>0</v>
      </c>
      <c r="BA209" t="str">
        <f ca="1">IF((OFFSET($A$1, 209 - 1, 51 - 1)) &gt;= (OFFSET($A$1, 68 - 1, 7 - 1)), "1","0")</f>
        <v>0</v>
      </c>
      <c r="BB209">
        <f ca="1" xml:space="preserve"> IF( AND( OFFSET($A$1, 209 - 1, 52 - 1) = "1", OFFSET($A$1, 209 - 1, 53 - 1) = "1" ), 1, IF( AND( OFFSET($A$1, 209 - 1, 52 - 1) = "1", OFFSET($A$1, 209 - 1, 53 - 1) = "0" ), 2, IF( AND( OFFSET($A$1, 209 - 1, 52 - 1) = "0", OFFSET($A$1, 209 - 1, 53 - 1) = "1" ), 3, 4 ) ) )</f>
        <v>4</v>
      </c>
    </row>
    <row r="210" spans="51:54" x14ac:dyDescent="0.25">
      <c r="AY210" s="7">
        <v>0.28952489717186036</v>
      </c>
      <c r="AZ210" s="7" t="str">
        <f>"0"</f>
        <v>0</v>
      </c>
      <c r="BA210" t="str">
        <f ca="1">IF((OFFSET($A$1, 210 - 1, 51 - 1)) &gt;= (OFFSET($A$1, 68 - 1, 7 - 1)), "1","0")</f>
        <v>0</v>
      </c>
      <c r="BB210">
        <f ca="1" xml:space="preserve"> IF( AND( OFFSET($A$1, 210 - 1, 52 - 1) = "1", OFFSET($A$1, 210 - 1, 53 - 1) = "1" ), 1, IF( AND( OFFSET($A$1, 210 - 1, 52 - 1) = "1", OFFSET($A$1, 210 - 1, 53 - 1) = "0" ), 2, IF( AND( OFFSET($A$1, 210 - 1, 52 - 1) = "0", OFFSET($A$1, 210 - 1, 53 - 1) = "1" ), 3, 4 ) ) )</f>
        <v>4</v>
      </c>
    </row>
    <row r="211" spans="51:54" x14ac:dyDescent="0.25">
      <c r="AY211" s="7">
        <v>0.12467823812708556</v>
      </c>
      <c r="AZ211" s="7" t="str">
        <f>"0"</f>
        <v>0</v>
      </c>
      <c r="BA211" t="str">
        <f ca="1">IF((OFFSET($A$1, 211 - 1, 51 - 1)) &gt;= (OFFSET($A$1, 68 - 1, 7 - 1)), "1","0")</f>
        <v>0</v>
      </c>
      <c r="BB211">
        <f ca="1" xml:space="preserve"> IF( AND( OFFSET($A$1, 211 - 1, 52 - 1) = "1", OFFSET($A$1, 211 - 1, 53 - 1) = "1" ), 1, IF( AND( OFFSET($A$1, 211 - 1, 52 - 1) = "1", OFFSET($A$1, 211 - 1, 53 - 1) = "0" ), 2, IF( AND( OFFSET($A$1, 211 - 1, 52 - 1) = "0", OFFSET($A$1, 211 - 1, 53 - 1) = "1" ), 3, 4 ) ) )</f>
        <v>4</v>
      </c>
    </row>
    <row r="212" spans="51:54" x14ac:dyDescent="0.25">
      <c r="AY212" s="7">
        <v>0.25086691670634931</v>
      </c>
      <c r="AZ212" s="7" t="str">
        <f>"0"</f>
        <v>0</v>
      </c>
      <c r="BA212" t="str">
        <f ca="1">IF((OFFSET($A$1, 212 - 1, 51 - 1)) &gt;= (OFFSET($A$1, 68 - 1, 7 - 1)), "1","0")</f>
        <v>0</v>
      </c>
      <c r="BB212">
        <f ca="1" xml:space="preserve"> IF( AND( OFFSET($A$1, 212 - 1, 52 - 1) = "1", OFFSET($A$1, 212 - 1, 53 - 1) = "1" ), 1, IF( AND( OFFSET($A$1, 212 - 1, 52 - 1) = "1", OFFSET($A$1, 212 - 1, 53 - 1) = "0" ), 2, IF( AND( OFFSET($A$1, 212 - 1, 52 - 1) = "0", OFFSET($A$1, 212 - 1, 53 - 1) = "1" ), 3, 4 ) ) )</f>
        <v>4</v>
      </c>
    </row>
    <row r="213" spans="51:54" x14ac:dyDescent="0.25">
      <c r="AY213" s="7">
        <v>0.1844330536932097</v>
      </c>
      <c r="AZ213" s="7" t="str">
        <f>"1"</f>
        <v>1</v>
      </c>
      <c r="BA213" t="str">
        <f ca="1">IF((OFFSET($A$1, 213 - 1, 51 - 1)) &gt;= (OFFSET($A$1, 68 - 1, 7 - 1)), "1","0")</f>
        <v>0</v>
      </c>
      <c r="BB213">
        <f ca="1" xml:space="preserve"> IF( AND( OFFSET($A$1, 213 - 1, 52 - 1) = "1", OFFSET($A$1, 213 - 1, 53 - 1) = "1" ), 1, IF( AND( OFFSET($A$1, 213 - 1, 52 - 1) = "1", OFFSET($A$1, 213 - 1, 53 - 1) = "0" ), 2, IF( AND( OFFSET($A$1, 213 - 1, 52 - 1) = "0", OFFSET($A$1, 213 - 1, 53 - 1) = "1" ), 3, 4 ) ) )</f>
        <v>2</v>
      </c>
    </row>
    <row r="214" spans="51:54" x14ac:dyDescent="0.25">
      <c r="AY214" s="7">
        <v>0.14300559915345581</v>
      </c>
      <c r="AZ214" s="7" t="str">
        <f>"0"</f>
        <v>0</v>
      </c>
      <c r="BA214" t="str">
        <f ca="1">IF((OFFSET($A$1, 214 - 1, 51 - 1)) &gt;= (OFFSET($A$1, 68 - 1, 7 - 1)), "1","0")</f>
        <v>0</v>
      </c>
      <c r="BB214">
        <f ca="1" xml:space="preserve"> IF( AND( OFFSET($A$1, 214 - 1, 52 - 1) = "1", OFFSET($A$1, 214 - 1, 53 - 1) = "1" ), 1, IF( AND( OFFSET($A$1, 214 - 1, 52 - 1) = "1", OFFSET($A$1, 214 - 1, 53 - 1) = "0" ), 2, IF( AND( OFFSET($A$1, 214 - 1, 52 - 1) = "0", OFFSET($A$1, 214 - 1, 53 - 1) = "1" ), 3, 4 ) ) )</f>
        <v>4</v>
      </c>
    </row>
    <row r="215" spans="51:54" x14ac:dyDescent="0.25">
      <c r="AY215" s="7">
        <v>0.11150086545083167</v>
      </c>
      <c r="AZ215" s="7" t="str">
        <f>"0"</f>
        <v>0</v>
      </c>
      <c r="BA215" t="str">
        <f ca="1">IF((OFFSET($A$1, 215 - 1, 51 - 1)) &gt;= (OFFSET($A$1, 68 - 1, 7 - 1)), "1","0")</f>
        <v>0</v>
      </c>
      <c r="BB215">
        <f ca="1" xml:space="preserve"> IF( AND( OFFSET($A$1, 215 - 1, 52 - 1) = "1", OFFSET($A$1, 215 - 1, 53 - 1) = "1" ), 1, IF( AND( OFFSET($A$1, 215 - 1, 52 - 1) = "1", OFFSET($A$1, 215 - 1, 53 - 1) = "0" ), 2, IF( AND( OFFSET($A$1, 215 - 1, 52 - 1) = "0", OFFSET($A$1, 215 - 1, 53 - 1) = "1" ), 3, 4 ) ) )</f>
        <v>4</v>
      </c>
    </row>
    <row r="216" spans="51:54" x14ac:dyDescent="0.25">
      <c r="AY216" s="7">
        <v>0.20735322501989456</v>
      </c>
      <c r="AZ216" s="7" t="str">
        <f>"0"</f>
        <v>0</v>
      </c>
      <c r="BA216" t="str">
        <f ca="1">IF((OFFSET($A$1, 216 - 1, 51 - 1)) &gt;= (OFFSET($A$1, 68 - 1, 7 - 1)), "1","0")</f>
        <v>0</v>
      </c>
      <c r="BB216">
        <f ca="1" xml:space="preserve"> IF( AND( OFFSET($A$1, 216 - 1, 52 - 1) = "1", OFFSET($A$1, 216 - 1, 53 - 1) = "1" ), 1, IF( AND( OFFSET($A$1, 216 - 1, 52 - 1) = "1", OFFSET($A$1, 216 - 1, 53 - 1) = "0" ), 2, IF( AND( OFFSET($A$1, 216 - 1, 52 - 1) = "0", OFFSET($A$1, 216 - 1, 53 - 1) = "1" ), 3, 4 ) ) )</f>
        <v>4</v>
      </c>
    </row>
    <row r="217" spans="51:54" x14ac:dyDescent="0.25">
      <c r="AY217" s="7">
        <v>0.10963271474904142</v>
      </c>
      <c r="AZ217" s="7" t="str">
        <f>"0"</f>
        <v>0</v>
      </c>
      <c r="BA217" t="str">
        <f ca="1">IF((OFFSET($A$1, 217 - 1, 51 - 1)) &gt;= (OFFSET($A$1, 68 - 1, 7 - 1)), "1","0")</f>
        <v>0</v>
      </c>
      <c r="BB217">
        <f ca="1" xml:space="preserve"> IF( AND( OFFSET($A$1, 217 - 1, 52 - 1) = "1", OFFSET($A$1, 217 - 1, 53 - 1) = "1" ), 1, IF( AND( OFFSET($A$1, 217 - 1, 52 - 1) = "1", OFFSET($A$1, 217 - 1, 53 - 1) = "0" ), 2, IF( AND( OFFSET($A$1, 217 - 1, 52 - 1) = "0", OFFSET($A$1, 217 - 1, 53 - 1) = "1" ), 3, 4 ) ) )</f>
        <v>4</v>
      </c>
    </row>
    <row r="218" spans="51:54" x14ac:dyDescent="0.25">
      <c r="AY218" s="7">
        <v>0.1991504722994584</v>
      </c>
      <c r="AZ218" s="7" t="str">
        <f>"0"</f>
        <v>0</v>
      </c>
      <c r="BA218" t="str">
        <f ca="1">IF((OFFSET($A$1, 218 - 1, 51 - 1)) &gt;= (OFFSET($A$1, 68 - 1, 7 - 1)), "1","0")</f>
        <v>0</v>
      </c>
      <c r="BB218">
        <f ca="1" xml:space="preserve"> IF( AND( OFFSET($A$1, 218 - 1, 52 - 1) = "1", OFFSET($A$1, 218 - 1, 53 - 1) = "1" ), 1, IF( AND( OFFSET($A$1, 218 - 1, 52 - 1) = "1", OFFSET($A$1, 218 - 1, 53 - 1) = "0" ), 2, IF( AND( OFFSET($A$1, 218 - 1, 52 - 1) = "0", OFFSET($A$1, 218 - 1, 53 - 1) = "1" ), 3, 4 ) ) )</f>
        <v>4</v>
      </c>
    </row>
    <row r="219" spans="51:54" x14ac:dyDescent="0.25">
      <c r="AY219" s="7">
        <v>0.26665235467082504</v>
      </c>
      <c r="AZ219" s="7" t="str">
        <f>"0"</f>
        <v>0</v>
      </c>
      <c r="BA219" t="str">
        <f ca="1">IF((OFFSET($A$1, 219 - 1, 51 - 1)) &gt;= (OFFSET($A$1, 68 - 1, 7 - 1)), "1","0")</f>
        <v>0</v>
      </c>
      <c r="BB219">
        <f ca="1" xml:space="preserve"> IF( AND( OFFSET($A$1, 219 - 1, 52 - 1) = "1", OFFSET($A$1, 219 - 1, 53 - 1) = "1" ), 1, IF( AND( OFFSET($A$1, 219 - 1, 52 - 1) = "1", OFFSET($A$1, 219 - 1, 53 - 1) = "0" ), 2, IF( AND( OFFSET($A$1, 219 - 1, 52 - 1) = "0", OFFSET($A$1, 219 - 1, 53 - 1) = "1" ), 3, 4 ) ) )</f>
        <v>4</v>
      </c>
    </row>
    <row r="220" spans="51:54" x14ac:dyDescent="0.25">
      <c r="AY220" s="7">
        <v>0.17785866534839434</v>
      </c>
      <c r="AZ220" s="7" t="str">
        <f>"0"</f>
        <v>0</v>
      </c>
      <c r="BA220" t="str">
        <f ca="1">IF((OFFSET($A$1, 220 - 1, 51 - 1)) &gt;= (OFFSET($A$1, 68 - 1, 7 - 1)), "1","0")</f>
        <v>0</v>
      </c>
      <c r="BB220">
        <f ca="1" xml:space="preserve"> IF( AND( OFFSET($A$1, 220 - 1, 52 - 1) = "1", OFFSET($A$1, 220 - 1, 53 - 1) = "1" ), 1, IF( AND( OFFSET($A$1, 220 - 1, 52 - 1) = "1", OFFSET($A$1, 220 - 1, 53 - 1) = "0" ), 2, IF( AND( OFFSET($A$1, 220 - 1, 52 - 1) = "0", OFFSET($A$1, 220 - 1, 53 - 1) = "1" ), 3, 4 ) ) )</f>
        <v>4</v>
      </c>
    </row>
    <row r="221" spans="51:54" x14ac:dyDescent="0.25">
      <c r="AY221" s="7">
        <v>0.15339374070461942</v>
      </c>
      <c r="AZ221" s="7" t="str">
        <f>"0"</f>
        <v>0</v>
      </c>
      <c r="BA221" t="str">
        <f ca="1">IF((OFFSET($A$1, 221 - 1, 51 - 1)) &gt;= (OFFSET($A$1, 68 - 1, 7 - 1)), "1","0")</f>
        <v>0</v>
      </c>
      <c r="BB221">
        <f ca="1" xml:space="preserve"> IF( AND( OFFSET($A$1, 221 - 1, 52 - 1) = "1", OFFSET($A$1, 221 - 1, 53 - 1) = "1" ), 1, IF( AND( OFFSET($A$1, 221 - 1, 52 - 1) = "1", OFFSET($A$1, 221 - 1, 53 - 1) = "0" ), 2, IF( AND( OFFSET($A$1, 221 - 1, 52 - 1) = "0", OFFSET($A$1, 221 - 1, 53 - 1) = "1" ), 3, 4 ) ) )</f>
        <v>4</v>
      </c>
    </row>
    <row r="222" spans="51:54" x14ac:dyDescent="0.25">
      <c r="AY222" s="7">
        <v>0.24030925003217191</v>
      </c>
      <c r="AZ222" s="7" t="str">
        <f>"0"</f>
        <v>0</v>
      </c>
      <c r="BA222" t="str">
        <f ca="1">IF((OFFSET($A$1, 222 - 1, 51 - 1)) &gt;= (OFFSET($A$1, 68 - 1, 7 - 1)), "1","0")</f>
        <v>0</v>
      </c>
      <c r="BB222">
        <f ca="1" xml:space="preserve"> IF( AND( OFFSET($A$1, 222 - 1, 52 - 1) = "1", OFFSET($A$1, 222 - 1, 53 - 1) = "1" ), 1, IF( AND( OFFSET($A$1, 222 - 1, 52 - 1) = "1", OFFSET($A$1, 222 - 1, 53 - 1) = "0" ), 2, IF( AND( OFFSET($A$1, 222 - 1, 52 - 1) = "0", OFFSET($A$1, 222 - 1, 53 - 1) = "1" ), 3, 4 ) ) )</f>
        <v>4</v>
      </c>
    </row>
    <row r="223" spans="51:54" x14ac:dyDescent="0.25">
      <c r="AY223" s="7">
        <v>0.13992935774689849</v>
      </c>
      <c r="AZ223" s="7" t="str">
        <f>"0"</f>
        <v>0</v>
      </c>
      <c r="BA223" t="str">
        <f ca="1">IF((OFFSET($A$1, 223 - 1, 51 - 1)) &gt;= (OFFSET($A$1, 68 - 1, 7 - 1)), "1","0")</f>
        <v>0</v>
      </c>
      <c r="BB223">
        <f ca="1" xml:space="preserve"> IF( AND( OFFSET($A$1, 223 - 1, 52 - 1) = "1", OFFSET($A$1, 223 - 1, 53 - 1) = "1" ), 1, IF( AND( OFFSET($A$1, 223 - 1, 52 - 1) = "1", OFFSET($A$1, 223 - 1, 53 - 1) = "0" ), 2, IF( AND( OFFSET($A$1, 223 - 1, 52 - 1) = "0", OFFSET($A$1, 223 - 1, 53 - 1) = "1" ), 3, 4 ) ) )</f>
        <v>4</v>
      </c>
    </row>
    <row r="224" spans="51:54" x14ac:dyDescent="0.25">
      <c r="AY224" s="7">
        <v>0.22120913286454225</v>
      </c>
      <c r="AZ224" s="7" t="str">
        <f>"0"</f>
        <v>0</v>
      </c>
      <c r="BA224" t="str">
        <f ca="1">IF((OFFSET($A$1, 224 - 1, 51 - 1)) &gt;= (OFFSET($A$1, 68 - 1, 7 - 1)), "1","0")</f>
        <v>0</v>
      </c>
      <c r="BB224">
        <f ca="1" xml:space="preserve"> IF( AND( OFFSET($A$1, 224 - 1, 52 - 1) = "1", OFFSET($A$1, 224 - 1, 53 - 1) = "1" ), 1, IF( AND( OFFSET($A$1, 224 - 1, 52 - 1) = "1", OFFSET($A$1, 224 - 1, 53 - 1) = "0" ), 2, IF( AND( OFFSET($A$1, 224 - 1, 52 - 1) = "0", OFFSET($A$1, 224 - 1, 53 - 1) = "1" ), 3, 4 ) ) )</f>
        <v>4</v>
      </c>
    </row>
    <row r="225" spans="51:54" x14ac:dyDescent="0.25">
      <c r="AY225" s="7">
        <v>0.23231042411848823</v>
      </c>
      <c r="AZ225" s="7" t="str">
        <f>"0"</f>
        <v>0</v>
      </c>
      <c r="BA225" t="str">
        <f ca="1">IF((OFFSET($A$1, 225 - 1, 51 - 1)) &gt;= (OFFSET($A$1, 68 - 1, 7 - 1)), "1","0")</f>
        <v>0</v>
      </c>
      <c r="BB225">
        <f ca="1" xml:space="preserve"> IF( AND( OFFSET($A$1, 225 - 1, 52 - 1) = "1", OFFSET($A$1, 225 - 1, 53 - 1) = "1" ), 1, IF( AND( OFFSET($A$1, 225 - 1, 52 - 1) = "1", OFFSET($A$1, 225 - 1, 53 - 1) = "0" ), 2, IF( AND( OFFSET($A$1, 225 - 1, 52 - 1) = "0", OFFSET($A$1, 225 - 1, 53 - 1) = "1" ), 3, 4 ) ) )</f>
        <v>4</v>
      </c>
    </row>
    <row r="226" spans="51:54" x14ac:dyDescent="0.25">
      <c r="AY226" s="7">
        <v>0.21473309647067179</v>
      </c>
      <c r="AZ226" s="7" t="str">
        <f>"0"</f>
        <v>0</v>
      </c>
      <c r="BA226" t="str">
        <f ca="1">IF((OFFSET($A$1, 226 - 1, 51 - 1)) &gt;= (OFFSET($A$1, 68 - 1, 7 - 1)), "1","0")</f>
        <v>0</v>
      </c>
      <c r="BB226">
        <f ca="1" xml:space="preserve"> IF( AND( OFFSET($A$1, 226 - 1, 52 - 1) = "1", OFFSET($A$1, 226 - 1, 53 - 1) = "1" ), 1, IF( AND( OFFSET($A$1, 226 - 1, 52 - 1) = "1", OFFSET($A$1, 226 - 1, 53 - 1) = "0" ), 2, IF( AND( OFFSET($A$1, 226 - 1, 52 - 1) = "0", OFFSET($A$1, 226 - 1, 53 - 1) = "1" ), 3, 4 ) ) )</f>
        <v>4</v>
      </c>
    </row>
    <row r="227" spans="51:54" x14ac:dyDescent="0.25">
      <c r="AY227" s="7">
        <v>0.22012015701298474</v>
      </c>
      <c r="AZ227" s="7" t="str">
        <f>"0"</f>
        <v>0</v>
      </c>
      <c r="BA227" t="str">
        <f ca="1">IF((OFFSET($A$1, 227 - 1, 51 - 1)) &gt;= (OFFSET($A$1, 68 - 1, 7 - 1)), "1","0")</f>
        <v>0</v>
      </c>
      <c r="BB227">
        <f ca="1" xml:space="preserve"> IF( AND( OFFSET($A$1, 227 - 1, 52 - 1) = "1", OFFSET($A$1, 227 - 1, 53 - 1) = "1" ), 1, IF( AND( OFFSET($A$1, 227 - 1, 52 - 1) = "1", OFFSET($A$1, 227 - 1, 53 - 1) = "0" ), 2, IF( AND( OFFSET($A$1, 227 - 1, 52 - 1) = "0", OFFSET($A$1, 227 - 1, 53 - 1) = "1" ), 3, 4 ) ) )</f>
        <v>4</v>
      </c>
    </row>
    <row r="228" spans="51:54" x14ac:dyDescent="0.25">
      <c r="AY228" s="7">
        <v>0.27038360799655531</v>
      </c>
      <c r="AZ228" s="7" t="str">
        <f>"0"</f>
        <v>0</v>
      </c>
      <c r="BA228" t="str">
        <f ca="1">IF((OFFSET($A$1, 228 - 1, 51 - 1)) &gt;= (OFFSET($A$1, 68 - 1, 7 - 1)), "1","0")</f>
        <v>0</v>
      </c>
      <c r="BB228">
        <f ca="1" xml:space="preserve"> IF( AND( OFFSET($A$1, 228 - 1, 52 - 1) = "1", OFFSET($A$1, 228 - 1, 53 - 1) = "1" ), 1, IF( AND( OFFSET($A$1, 228 - 1, 52 - 1) = "1", OFFSET($A$1, 228 - 1, 53 - 1) = "0" ), 2, IF( AND( OFFSET($A$1, 228 - 1, 52 - 1) = "0", OFFSET($A$1, 228 - 1, 53 - 1) = "1" ), 3, 4 ) ) )</f>
        <v>4</v>
      </c>
    </row>
    <row r="229" spans="51:54" x14ac:dyDescent="0.25">
      <c r="AY229" s="7">
        <v>0.13841212205338652</v>
      </c>
      <c r="AZ229" s="7" t="str">
        <f>"0"</f>
        <v>0</v>
      </c>
      <c r="BA229" t="str">
        <f ca="1">IF((OFFSET($A$1, 229 - 1, 51 - 1)) &gt;= (OFFSET($A$1, 68 - 1, 7 - 1)), "1","0")</f>
        <v>0</v>
      </c>
      <c r="BB229">
        <f ca="1" xml:space="preserve"> IF( AND( OFFSET($A$1, 229 - 1, 52 - 1) = "1", OFFSET($A$1, 229 - 1, 53 - 1) = "1" ), 1, IF( AND( OFFSET($A$1, 229 - 1, 52 - 1) = "1", OFFSET($A$1, 229 - 1, 53 - 1) = "0" ), 2, IF( AND( OFFSET($A$1, 229 - 1, 52 - 1) = "0", OFFSET($A$1, 229 - 1, 53 - 1) = "1" ), 3, 4 ) ) )</f>
        <v>4</v>
      </c>
    </row>
    <row r="230" spans="51:54" x14ac:dyDescent="0.25">
      <c r="AY230" s="7">
        <v>0.1844330536932097</v>
      </c>
      <c r="AZ230" s="7" t="str">
        <f>"0"</f>
        <v>0</v>
      </c>
      <c r="BA230" t="str">
        <f ca="1">IF((OFFSET($A$1, 230 - 1, 51 - 1)) &gt;= (OFFSET($A$1, 68 - 1, 7 - 1)), "1","0")</f>
        <v>0</v>
      </c>
      <c r="BB230">
        <f ca="1" xml:space="preserve"> IF( AND( OFFSET($A$1, 230 - 1, 52 - 1) = "1", OFFSET($A$1, 230 - 1, 53 - 1) = "1" ), 1, IF( AND( OFFSET($A$1, 230 - 1, 52 - 1) = "1", OFFSET($A$1, 230 - 1, 53 - 1) = "0" ), 2, IF( AND( OFFSET($A$1, 230 - 1, 52 - 1) = "0", OFFSET($A$1, 230 - 1, 53 - 1) = "1" ), 3, 4 ) ) )</f>
        <v>4</v>
      </c>
    </row>
    <row r="231" spans="51:54" x14ac:dyDescent="0.25">
      <c r="AY231" s="7">
        <v>0.18634565085760132</v>
      </c>
      <c r="AZ231" s="7" t="str">
        <f>"1"</f>
        <v>1</v>
      </c>
      <c r="BA231" t="str">
        <f ca="1">IF((OFFSET($A$1, 231 - 1, 51 - 1)) &gt;= (OFFSET($A$1, 68 - 1, 7 - 1)), "1","0")</f>
        <v>0</v>
      </c>
      <c r="BB231">
        <f ca="1" xml:space="preserve"> IF( AND( OFFSET($A$1, 231 - 1, 52 - 1) = "1", OFFSET($A$1, 231 - 1, 53 - 1) = "1" ), 1, IF( AND( OFFSET($A$1, 231 - 1, 52 - 1) = "1", OFFSET($A$1, 231 - 1, 53 - 1) = "0" ), 2, IF( AND( OFFSET($A$1, 231 - 1, 52 - 1) = "0", OFFSET($A$1, 231 - 1, 53 - 1) = "1" ), 3, 4 ) ) )</f>
        <v>2</v>
      </c>
    </row>
    <row r="232" spans="51:54" x14ac:dyDescent="0.25">
      <c r="AY232" s="7">
        <v>0.14378341048428475</v>
      </c>
      <c r="AZ232" s="7" t="str">
        <f>"0"</f>
        <v>0</v>
      </c>
      <c r="BA232" t="str">
        <f ca="1">IF((OFFSET($A$1, 232 - 1, 51 - 1)) &gt;= (OFFSET($A$1, 68 - 1, 7 - 1)), "1","0")</f>
        <v>0</v>
      </c>
      <c r="BB232">
        <f ca="1" xml:space="preserve"> IF( AND( OFFSET($A$1, 232 - 1, 52 - 1) = "1", OFFSET($A$1, 232 - 1, 53 - 1) = "1" ), 1, IF( AND( OFFSET($A$1, 232 - 1, 52 - 1) = "1", OFFSET($A$1, 232 - 1, 53 - 1) = "0" ), 2, IF( AND( OFFSET($A$1, 232 - 1, 52 - 1) = "0", OFFSET($A$1, 232 - 1, 53 - 1) = "1" ), 3, 4 ) ) )</f>
        <v>4</v>
      </c>
    </row>
    <row r="233" spans="51:54" x14ac:dyDescent="0.25">
      <c r="AY233" s="7">
        <v>0.12676626407826649</v>
      </c>
      <c r="AZ233" s="7" t="str">
        <f>"0"</f>
        <v>0</v>
      </c>
      <c r="BA233" t="str">
        <f ca="1">IF((OFFSET($A$1, 233 - 1, 51 - 1)) &gt;= (OFFSET($A$1, 68 - 1, 7 - 1)), "1","0")</f>
        <v>0</v>
      </c>
      <c r="BB233">
        <f ca="1" xml:space="preserve"> IF( AND( OFFSET($A$1, 233 - 1, 52 - 1) = "1", OFFSET($A$1, 233 - 1, 53 - 1) = "1" ), 1, IF( AND( OFFSET($A$1, 233 - 1, 52 - 1) = "1", OFFSET($A$1, 233 - 1, 53 - 1) = "0" ), 2, IF( AND( OFFSET($A$1, 233 - 1, 52 - 1) = "0", OFFSET($A$1, 233 - 1, 53 - 1) = "1" ), 3, 4 ) ) )</f>
        <v>4</v>
      </c>
    </row>
    <row r="234" spans="51:54" x14ac:dyDescent="0.25">
      <c r="AY234" s="7">
        <v>0.20527941060246108</v>
      </c>
      <c r="AZ234" s="7" t="str">
        <f>"0"</f>
        <v>0</v>
      </c>
      <c r="BA234" t="str">
        <f ca="1">IF((OFFSET($A$1, 234 - 1, 51 - 1)) &gt;= (OFFSET($A$1, 68 - 1, 7 - 1)), "1","0")</f>
        <v>0</v>
      </c>
      <c r="BB234">
        <f ca="1" xml:space="preserve"> IF( AND( OFFSET($A$1, 234 - 1, 52 - 1) = "1", OFFSET($A$1, 234 - 1, 53 - 1) = "1" ), 1, IF( AND( OFFSET($A$1, 234 - 1, 52 - 1) = "1", OFFSET($A$1, 234 - 1, 53 - 1) = "0" ), 2, IF( AND( OFFSET($A$1, 234 - 1, 52 - 1) = "0", OFFSET($A$1, 234 - 1, 53 - 1) = "1" ), 3, 4 ) ) )</f>
        <v>4</v>
      </c>
    </row>
    <row r="235" spans="51:54" x14ac:dyDescent="0.25">
      <c r="AY235" s="7">
        <v>0.17327608298152103</v>
      </c>
      <c r="AZ235" s="7" t="str">
        <f>"0"</f>
        <v>0</v>
      </c>
      <c r="BA235" t="str">
        <f ca="1">IF((OFFSET($A$1, 235 - 1, 51 - 1)) &gt;= (OFFSET($A$1, 68 - 1, 7 - 1)), "1","0")</f>
        <v>0</v>
      </c>
      <c r="BB235">
        <f ca="1" xml:space="preserve"> IF( AND( OFFSET($A$1, 235 - 1, 52 - 1) = "1", OFFSET($A$1, 235 - 1, 53 - 1) = "1" ), 1, IF( AND( OFFSET($A$1, 235 - 1, 52 - 1) = "1", OFFSET($A$1, 235 - 1, 53 - 1) = "0" ), 2, IF( AND( OFFSET($A$1, 235 - 1, 52 - 1) = "0", OFFSET($A$1, 235 - 1, 53 - 1) = "1" ), 3, 4 ) ) )</f>
        <v>4</v>
      </c>
    </row>
    <row r="236" spans="51:54" x14ac:dyDescent="0.25">
      <c r="AY236" s="7">
        <v>0.17601433243372858</v>
      </c>
      <c r="AZ236" s="7" t="str">
        <f>"0"</f>
        <v>0</v>
      </c>
      <c r="BA236" t="str">
        <f ca="1">IF((OFFSET($A$1, 236 - 1, 51 - 1)) &gt;= (OFFSET($A$1, 68 - 1, 7 - 1)), "1","0")</f>
        <v>0</v>
      </c>
      <c r="BB236">
        <f ca="1" xml:space="preserve"> IF( AND( OFFSET($A$1, 236 - 1, 52 - 1) = "1", OFFSET($A$1, 236 - 1, 53 - 1) = "1" ), 1, IF( AND( OFFSET($A$1, 236 - 1, 52 - 1) = "1", OFFSET($A$1, 236 - 1, 53 - 1) = "0" ), 2, IF( AND( OFFSET($A$1, 236 - 1, 52 - 1) = "0", OFFSET($A$1, 236 - 1, 53 - 1) = "1" ), 3, 4 ) ) )</f>
        <v>4</v>
      </c>
    </row>
    <row r="237" spans="51:54" x14ac:dyDescent="0.25">
      <c r="AY237" s="7">
        <v>0.25565707697198908</v>
      </c>
      <c r="AZ237" s="7" t="str">
        <f>"0"</f>
        <v>0</v>
      </c>
      <c r="BA237" t="str">
        <f ca="1">IF((OFFSET($A$1, 237 - 1, 51 - 1)) &gt;= (OFFSET($A$1, 68 - 1, 7 - 1)), "1","0")</f>
        <v>0</v>
      </c>
      <c r="BB237">
        <f ca="1" xml:space="preserve"> IF( AND( OFFSET($A$1, 237 - 1, 52 - 1) = "1", OFFSET($A$1, 237 - 1, 53 - 1) = "1" ), 1, IF( AND( OFFSET($A$1, 237 - 1, 52 - 1) = "1", OFFSET($A$1, 237 - 1, 53 - 1) = "0" ), 2, IF( AND( OFFSET($A$1, 237 - 1, 52 - 1) = "0", OFFSET($A$1, 237 - 1, 53 - 1) = "1" ), 3, 4 ) ) )</f>
        <v>4</v>
      </c>
    </row>
    <row r="238" spans="51:54" x14ac:dyDescent="0.25">
      <c r="AY238" s="7">
        <v>0.20631438947420566</v>
      </c>
      <c r="AZ238" s="7" t="str">
        <f>"0"</f>
        <v>0</v>
      </c>
      <c r="BA238" t="str">
        <f ca="1">IF((OFFSET($A$1, 238 - 1, 51 - 1)) &gt;= (OFFSET($A$1, 68 - 1, 7 - 1)), "1","0")</f>
        <v>0</v>
      </c>
      <c r="BB238">
        <f ca="1" xml:space="preserve"> IF( AND( OFFSET($A$1, 238 - 1, 52 - 1) = "1", OFFSET($A$1, 238 - 1, 53 - 1) = "1" ), 1, IF( AND( OFFSET($A$1, 238 - 1, 52 - 1) = "1", OFFSET($A$1, 238 - 1, 53 - 1) = "0" ), 2, IF( AND( OFFSET($A$1, 238 - 1, 52 - 1) = "0", OFFSET($A$1, 238 - 1, 53 - 1) = "1" ), 3, 4 ) ) )</f>
        <v>4</v>
      </c>
    </row>
    <row r="239" spans="51:54" x14ac:dyDescent="0.25">
      <c r="AY239" s="7">
        <v>0.19316004682073495</v>
      </c>
      <c r="AZ239" s="7" t="str">
        <f>"0"</f>
        <v>0</v>
      </c>
      <c r="BA239" t="str">
        <f ca="1">IF((OFFSET($A$1, 239 - 1, 51 - 1)) &gt;= (OFFSET($A$1, 68 - 1, 7 - 1)), "1","0")</f>
        <v>0</v>
      </c>
      <c r="BB239">
        <f ca="1" xml:space="preserve"> IF( AND( OFFSET($A$1, 239 - 1, 52 - 1) = "1", OFFSET($A$1, 239 - 1, 53 - 1) = "1" ), 1, IF( AND( OFFSET($A$1, 239 - 1, 52 - 1) = "1", OFFSET($A$1, 239 - 1, 53 - 1) = "0" ), 2, IF( AND( OFFSET($A$1, 239 - 1, 52 - 1) = "0", OFFSET($A$1, 239 - 1, 53 - 1) = "1" ), 3, 4 ) ) )</f>
        <v>4</v>
      </c>
    </row>
    <row r="240" spans="51:54" x14ac:dyDescent="0.25">
      <c r="AY240" s="7">
        <v>0.14300559915345581</v>
      </c>
      <c r="AZ240" s="7" t="str">
        <f>"0"</f>
        <v>0</v>
      </c>
      <c r="BA240" t="str">
        <f ca="1">IF((OFFSET($A$1, 240 - 1, 51 - 1)) &gt;= (OFFSET($A$1, 68 - 1, 7 - 1)), "1","0")</f>
        <v>0</v>
      </c>
      <c r="BB240">
        <f ca="1" xml:space="preserve"> IF( AND( OFFSET($A$1, 240 - 1, 52 - 1) = "1", OFFSET($A$1, 240 - 1, 53 - 1) = "1" ), 1, IF( AND( OFFSET($A$1, 240 - 1, 52 - 1) = "1", OFFSET($A$1, 240 - 1, 53 - 1) = "0" ), 2, IF( AND( OFFSET($A$1, 240 - 1, 52 - 1) = "0", OFFSET($A$1, 240 - 1, 53 - 1) = "1" ), 3, 4 ) ) )</f>
        <v>4</v>
      </c>
    </row>
    <row r="241" spans="51:54" x14ac:dyDescent="0.25">
      <c r="AY241" s="7">
        <v>0.27038360799655531</v>
      </c>
      <c r="AZ241" s="7" t="str">
        <f>"0"</f>
        <v>0</v>
      </c>
      <c r="BA241" t="str">
        <f ca="1">IF((OFFSET($A$1, 241 - 1, 51 - 1)) &gt;= (OFFSET($A$1, 68 - 1, 7 - 1)), "1","0")</f>
        <v>0</v>
      </c>
      <c r="BB241">
        <f ca="1" xml:space="preserve"> IF( AND( OFFSET($A$1, 241 - 1, 52 - 1) = "1", OFFSET($A$1, 241 - 1, 53 - 1) = "1" ), 1, IF( AND( OFFSET($A$1, 241 - 1, 52 - 1) = "1", OFFSET($A$1, 241 - 1, 53 - 1) = "0" ), 2, IF( AND( OFFSET($A$1, 241 - 1, 52 - 1) = "0", OFFSET($A$1, 241 - 1, 53 - 1) = "1" ), 3, 4 ) ) )</f>
        <v>4</v>
      </c>
    </row>
    <row r="242" spans="51:54" x14ac:dyDescent="0.25">
      <c r="AY242" s="7">
        <v>0.19021663773395503</v>
      </c>
      <c r="AZ242" s="7" t="str">
        <f>"0"</f>
        <v>0</v>
      </c>
      <c r="BA242" t="str">
        <f ca="1">IF((OFFSET($A$1, 242 - 1, 51 - 1)) &gt;= (OFFSET($A$1, 68 - 1, 7 - 1)), "1","0")</f>
        <v>0</v>
      </c>
      <c r="BB242">
        <f ca="1" xml:space="preserve"> IF( AND( OFFSET($A$1, 242 - 1, 52 - 1) = "1", OFFSET($A$1, 242 - 1, 53 - 1) = "1" ), 1, IF( AND( OFFSET($A$1, 242 - 1, 52 - 1) = "1", OFFSET($A$1, 242 - 1, 53 - 1) = "0" ), 2, IF( AND( OFFSET($A$1, 242 - 1, 52 - 1) = "0", OFFSET($A$1, 242 - 1, 53 - 1) = "1" ), 3, 4 ) ) )</f>
        <v>4</v>
      </c>
    </row>
    <row r="243" spans="51:54" x14ac:dyDescent="0.25">
      <c r="AY243" s="7">
        <v>0.2779439374646816</v>
      </c>
      <c r="AZ243" s="7" t="str">
        <f>"0"</f>
        <v>0</v>
      </c>
      <c r="BA243" t="str">
        <f ca="1">IF((OFFSET($A$1, 243 - 1, 51 - 1)) &gt;= (OFFSET($A$1, 68 - 1, 7 - 1)), "1","0")</f>
        <v>0</v>
      </c>
      <c r="BB243">
        <f ca="1" xml:space="preserve"> IF( AND( OFFSET($A$1, 243 - 1, 52 - 1) = "1", OFFSET($A$1, 243 - 1, 53 - 1) = "1" ), 1, IF( AND( OFFSET($A$1, 243 - 1, 52 - 1) = "1", OFFSET($A$1, 243 - 1, 53 - 1) = "0" ), 2, IF( AND( OFFSET($A$1, 243 - 1, 52 - 1) = "0", OFFSET($A$1, 243 - 1, 53 - 1) = "1" ), 3, 4 ) ) )</f>
        <v>4</v>
      </c>
    </row>
    <row r="244" spans="51:54" x14ac:dyDescent="0.25">
      <c r="AY244" s="7">
        <v>0.1844330536932097</v>
      </c>
      <c r="AZ244" s="7" t="str">
        <f>"0"</f>
        <v>0</v>
      </c>
      <c r="BA244" t="str">
        <f ca="1">IF((OFFSET($A$1, 244 - 1, 51 - 1)) &gt;= (OFFSET($A$1, 68 - 1, 7 - 1)), "1","0")</f>
        <v>0</v>
      </c>
      <c r="BB244">
        <f ca="1" xml:space="preserve"> IF( AND( OFFSET($A$1, 244 - 1, 52 - 1) = "1", OFFSET($A$1, 244 - 1, 53 - 1) = "1" ), 1, IF( AND( OFFSET($A$1, 244 - 1, 52 - 1) = "1", OFFSET($A$1, 244 - 1, 53 - 1) = "0" ), 2, IF( AND( OFFSET($A$1, 244 - 1, 52 - 1) = "0", OFFSET($A$1, 244 - 1, 53 - 1) = "1" ), 3, 4 ) ) )</f>
        <v>4</v>
      </c>
    </row>
    <row r="245" spans="51:54" x14ac:dyDescent="0.25">
      <c r="AY245" s="7">
        <v>0.21260527042554705</v>
      </c>
      <c r="AZ245" s="7" t="str">
        <f>"1"</f>
        <v>1</v>
      </c>
      <c r="BA245" t="str">
        <f ca="1">IF((OFFSET($A$1, 245 - 1, 51 - 1)) &gt;= (OFFSET($A$1, 68 - 1, 7 - 1)), "1","0")</f>
        <v>0</v>
      </c>
      <c r="BB245">
        <f ca="1" xml:space="preserve"> IF( AND( OFFSET($A$1, 245 - 1, 52 - 1) = "1", OFFSET($A$1, 245 - 1, 53 - 1) = "1" ), 1, IF( AND( OFFSET($A$1, 245 - 1, 52 - 1) = "1", OFFSET($A$1, 245 - 1, 53 - 1) = "0" ), 2, IF( AND( OFFSET($A$1, 245 - 1, 52 - 1) = "0", OFFSET($A$1, 245 - 1, 53 - 1) = "1" ), 3, 4 ) ) )</f>
        <v>2</v>
      </c>
    </row>
    <row r="246" spans="51:54" x14ac:dyDescent="0.25">
      <c r="AY246" s="7">
        <v>0.23685828821051477</v>
      </c>
      <c r="AZ246" s="7" t="str">
        <f>"0"</f>
        <v>0</v>
      </c>
      <c r="BA246" t="str">
        <f ca="1">IF((OFFSET($A$1, 246 - 1, 51 - 1)) &gt;= (OFFSET($A$1, 68 - 1, 7 - 1)), "1","0")</f>
        <v>0</v>
      </c>
      <c r="BB246">
        <f ca="1" xml:space="preserve"> IF( AND( OFFSET($A$1, 246 - 1, 52 - 1) = "1", OFFSET($A$1, 246 - 1, 53 - 1) = "1" ), 1, IF( AND( OFFSET($A$1, 246 - 1, 52 - 1) = "1", OFFSET($A$1, 246 - 1, 53 - 1) = "0" ), 2, IF( AND( OFFSET($A$1, 246 - 1, 52 - 1) = "0", OFFSET($A$1, 246 - 1, 53 - 1) = "1" ), 3, 4 ) ) )</f>
        <v>4</v>
      </c>
    </row>
    <row r="247" spans="51:54" x14ac:dyDescent="0.25">
      <c r="AY247" s="7">
        <v>0.26789245804538869</v>
      </c>
      <c r="AZ247" s="7" t="str">
        <f>"0"</f>
        <v>0</v>
      </c>
      <c r="BA247" t="str">
        <f ca="1">IF((OFFSET($A$1, 247 - 1, 51 - 1)) &gt;= (OFFSET($A$1, 68 - 1, 7 - 1)), "1","0")</f>
        <v>0</v>
      </c>
      <c r="BB247">
        <f ca="1" xml:space="preserve"> IF( AND( OFFSET($A$1, 247 - 1, 52 - 1) = "1", OFFSET($A$1, 247 - 1, 53 - 1) = "1" ), 1, IF( AND( OFFSET($A$1, 247 - 1, 52 - 1) = "1", OFFSET($A$1, 247 - 1, 53 - 1) = "0" ), 2, IF( AND( OFFSET($A$1, 247 - 1, 52 - 1) = "0", OFFSET($A$1, 247 - 1, 53 - 1) = "1" ), 3, 4 ) ) )</f>
        <v>4</v>
      </c>
    </row>
    <row r="248" spans="51:54" x14ac:dyDescent="0.25">
      <c r="AY248" s="7">
        <v>0.20944246859479526</v>
      </c>
      <c r="AZ248" s="7" t="str">
        <f>"1"</f>
        <v>1</v>
      </c>
      <c r="BA248" t="str">
        <f ca="1">IF((OFFSET($A$1, 248 - 1, 51 - 1)) &gt;= (OFFSET($A$1, 68 - 1, 7 - 1)), "1","0")</f>
        <v>0</v>
      </c>
      <c r="BB248">
        <f ca="1" xml:space="preserve"> IF( AND( OFFSET($A$1, 248 - 1, 52 - 1) = "1", OFFSET($A$1, 248 - 1, 53 - 1) = "1" ), 1, IF( AND( OFFSET($A$1, 248 - 1, 52 - 1) = "1", OFFSET($A$1, 248 - 1, 53 - 1) = "0" ), 2, IF( AND( OFFSET($A$1, 248 - 1, 52 - 1) = "0", OFFSET($A$1, 248 - 1, 53 - 1) = "1" ), 3, 4 ) ) )</f>
        <v>2</v>
      </c>
    </row>
    <row r="249" spans="51:54" x14ac:dyDescent="0.25">
      <c r="AY249" s="7">
        <v>0.18538744712211713</v>
      </c>
      <c r="AZ249" s="7" t="str">
        <f>"1"</f>
        <v>1</v>
      </c>
      <c r="BA249" t="str">
        <f ca="1">IF((OFFSET($A$1, 249 - 1, 51 - 1)) &gt;= (OFFSET($A$1, 68 - 1, 7 - 1)), "1","0")</f>
        <v>0</v>
      </c>
      <c r="BB249">
        <f ca="1" xml:space="preserve"> IF( AND( OFFSET($A$1, 249 - 1, 52 - 1) = "1", OFFSET($A$1, 249 - 1, 53 - 1) = "1" ), 1, IF( AND( OFFSET($A$1, 249 - 1, 52 - 1) = "1", OFFSET($A$1, 249 - 1, 53 - 1) = "0" ), 2, IF( AND( OFFSET($A$1, 249 - 1, 52 - 1) = "0", OFFSET($A$1, 249 - 1, 53 - 1) = "1" ), 3, 4 ) ) )</f>
        <v>2</v>
      </c>
    </row>
    <row r="250" spans="51:54" x14ac:dyDescent="0.25">
      <c r="AY250" s="7">
        <v>0.19613797039107678</v>
      </c>
      <c r="AZ250" s="7" t="str">
        <f>"0"</f>
        <v>0</v>
      </c>
      <c r="BA250" t="str">
        <f ca="1">IF((OFFSET($A$1, 250 - 1, 51 - 1)) &gt;= (OFFSET($A$1, 68 - 1, 7 - 1)), "1","0")</f>
        <v>0</v>
      </c>
      <c r="BB250">
        <f ca="1" xml:space="preserve"> IF( AND( OFFSET($A$1, 250 - 1, 52 - 1) = "1", OFFSET($A$1, 250 - 1, 53 - 1) = "1" ), 1, IF( AND( OFFSET($A$1, 250 - 1, 52 - 1) = "1", OFFSET($A$1, 250 - 1, 53 - 1) = "0" ), 2, IF( AND( OFFSET($A$1, 250 - 1, 52 - 1) = "0", OFFSET($A$1, 250 - 1, 53 - 1) = "1" ), 3, 4 ) ) )</f>
        <v>4</v>
      </c>
    </row>
    <row r="251" spans="51:54" x14ac:dyDescent="0.25">
      <c r="AY251" s="7">
        <v>0.18159269801395919</v>
      </c>
      <c r="AZ251" s="7" t="str">
        <f>"0"</f>
        <v>0</v>
      </c>
      <c r="BA251" t="str">
        <f ca="1">IF((OFFSET($A$1, 251 - 1, 51 - 1)) &gt;= (OFFSET($A$1, 68 - 1, 7 - 1)), "1","0")</f>
        <v>0</v>
      </c>
      <c r="BB251">
        <f ca="1" xml:space="preserve"> IF( AND( OFFSET($A$1, 251 - 1, 52 - 1) = "1", OFFSET($A$1, 251 - 1, 53 - 1) = "1" ), 1, IF( AND( OFFSET($A$1, 251 - 1, 52 - 1) = "1", OFFSET($A$1, 251 - 1, 53 - 1) = "0" ), 2, IF( AND( OFFSET($A$1, 251 - 1, 52 - 1) = "0", OFFSET($A$1, 251 - 1, 53 - 1) = "1" ), 3, 4 ) ) )</f>
        <v>4</v>
      </c>
    </row>
    <row r="252" spans="51:54" x14ac:dyDescent="0.25">
      <c r="AY252" s="7">
        <v>0.23800479968995475</v>
      </c>
      <c r="AZ252" s="7" t="str">
        <f>"0"</f>
        <v>0</v>
      </c>
      <c r="BA252" t="str">
        <f ca="1">IF((OFFSET($A$1, 252 - 1, 51 - 1)) &gt;= (OFFSET($A$1, 68 - 1, 7 - 1)), "1","0")</f>
        <v>0</v>
      </c>
      <c r="BB252">
        <f ca="1" xml:space="preserve"> IF( AND( OFFSET($A$1, 252 - 1, 52 - 1) = "1", OFFSET($A$1, 252 - 1, 53 - 1) = "1" ), 1, IF( AND( OFFSET($A$1, 252 - 1, 52 - 1) = "1", OFFSET($A$1, 252 - 1, 53 - 1) = "0" ), 2, IF( AND( OFFSET($A$1, 252 - 1, 52 - 1) = "0", OFFSET($A$1, 252 - 1, 53 - 1) = "1" ), 3, 4 ) ) )</f>
        <v>4</v>
      </c>
    </row>
    <row r="253" spans="51:54" x14ac:dyDescent="0.25">
      <c r="AY253" s="7">
        <v>0.12330266090719978</v>
      </c>
      <c r="AZ253" s="7" t="str">
        <f>"0"</f>
        <v>0</v>
      </c>
      <c r="BA253" t="str">
        <f ca="1">IF((OFFSET($A$1, 253 - 1, 51 - 1)) &gt;= (OFFSET($A$1, 68 - 1, 7 - 1)), "1","0")</f>
        <v>0</v>
      </c>
      <c r="BB253">
        <f ca="1" xml:space="preserve"> IF( AND( OFFSET($A$1, 253 - 1, 52 - 1) = "1", OFFSET($A$1, 253 - 1, 53 - 1) = "1" ), 1, IF( AND( OFFSET($A$1, 253 - 1, 52 - 1) = "1", OFFSET($A$1, 253 - 1, 53 - 1) = "0" ), 2, IF( AND( OFFSET($A$1, 253 - 1, 52 - 1) = "0", OFFSET($A$1, 253 - 1, 53 - 1) = "1" ), 3, 4 ) ) )</f>
        <v>4</v>
      </c>
    </row>
    <row r="254" spans="51:54" x14ac:dyDescent="0.25">
      <c r="AY254" s="7">
        <v>0.16008857311761521</v>
      </c>
      <c r="AZ254" s="7" t="str">
        <f>"0"</f>
        <v>0</v>
      </c>
      <c r="BA254" t="str">
        <f ca="1">IF((OFFSET($A$1, 254 - 1, 51 - 1)) &gt;= (OFFSET($A$1, 68 - 1, 7 - 1)), "1","0")</f>
        <v>0</v>
      </c>
      <c r="BB254">
        <f ca="1" xml:space="preserve"> IF( AND( OFFSET($A$1, 254 - 1, 52 - 1) = "1", OFFSET($A$1, 254 - 1, 53 - 1) = "1" ), 1, IF( AND( OFFSET($A$1, 254 - 1, 52 - 1) = "1", OFFSET($A$1, 254 - 1, 53 - 1) = "0" ), 2, IF( AND( OFFSET($A$1, 254 - 1, 52 - 1) = "0", OFFSET($A$1, 254 - 1, 53 - 1) = "1" ), 3, 4 ) ) )</f>
        <v>4</v>
      </c>
    </row>
    <row r="255" spans="51:54" x14ac:dyDescent="0.25">
      <c r="AY255" s="7">
        <v>0.17418507262711561</v>
      </c>
      <c r="AZ255" s="7" t="str">
        <f>"1"</f>
        <v>1</v>
      </c>
      <c r="BA255" t="str">
        <f ca="1">IF((OFFSET($A$1, 255 - 1, 51 - 1)) &gt;= (OFFSET($A$1, 68 - 1, 7 - 1)), "1","0")</f>
        <v>0</v>
      </c>
      <c r="BB255">
        <f ca="1" xml:space="preserve"> IF( AND( OFFSET($A$1, 255 - 1, 52 - 1) = "1", OFFSET($A$1, 255 - 1, 53 - 1) = "1" ), 1, IF( AND( OFFSET($A$1, 255 - 1, 52 - 1) = "1", OFFSET($A$1, 255 - 1, 53 - 1) = "0" ), 2, IF( AND( OFFSET($A$1, 255 - 1, 52 - 1) = "0", OFFSET($A$1, 255 - 1, 53 - 1) = "1" ), 3, 4 ) ) )</f>
        <v>2</v>
      </c>
    </row>
    <row r="256" spans="51:54" x14ac:dyDescent="0.25">
      <c r="AY256" s="7">
        <v>0.21260527042554705</v>
      </c>
      <c r="AZ256" s="7" t="str">
        <f>"1"</f>
        <v>1</v>
      </c>
      <c r="BA256" t="str">
        <f ca="1">IF((OFFSET($A$1, 256 - 1, 51 - 1)) &gt;= (OFFSET($A$1, 68 - 1, 7 - 1)), "1","0")</f>
        <v>0</v>
      </c>
      <c r="BB256">
        <f ca="1" xml:space="preserve"> IF( AND( OFFSET($A$1, 256 - 1, 52 - 1) = "1", OFFSET($A$1, 256 - 1, 53 - 1) = "1" ), 1, IF( AND( OFFSET($A$1, 256 - 1, 52 - 1) = "1", OFFSET($A$1, 256 - 1, 53 - 1) = "0" ), 2, IF( AND( OFFSET($A$1, 256 - 1, 52 - 1) = "0", OFFSET($A$1, 256 - 1, 53 - 1) = "1" ), 3, 4 ) ) )</f>
        <v>2</v>
      </c>
    </row>
    <row r="257" spans="51:54" x14ac:dyDescent="0.25">
      <c r="AY257" s="7">
        <v>0.15671205196085616</v>
      </c>
      <c r="AZ257" s="7" t="str">
        <f>"0"</f>
        <v>0</v>
      </c>
      <c r="BA257" t="str">
        <f ca="1">IF((OFFSET($A$1, 257 - 1, 51 - 1)) &gt;= (OFFSET($A$1, 68 - 1, 7 - 1)), "1","0")</f>
        <v>0</v>
      </c>
      <c r="BB257">
        <f ca="1" xml:space="preserve"> IF( AND( OFFSET($A$1, 257 - 1, 52 - 1) = "1", OFFSET($A$1, 257 - 1, 53 - 1) = "1" ), 1, IF( AND( OFFSET($A$1, 257 - 1, 52 - 1) = "1", OFFSET($A$1, 257 - 1, 53 - 1) = "0" ), 2, IF( AND( OFFSET($A$1, 257 - 1, 52 - 1) = "0", OFFSET($A$1, 257 - 1, 53 - 1) = "1" ), 3, 4 ) ) )</f>
        <v>4</v>
      </c>
    </row>
    <row r="258" spans="51:54" x14ac:dyDescent="0.25">
      <c r="AY258" s="7">
        <v>0.19613797039107678</v>
      </c>
      <c r="AZ258" s="7" t="str">
        <f>"0"</f>
        <v>0</v>
      </c>
      <c r="BA258" t="str">
        <f ca="1">IF((OFFSET($A$1, 258 - 1, 51 - 1)) &gt;= (OFFSET($A$1, 68 - 1, 7 - 1)), "1","0")</f>
        <v>0</v>
      </c>
      <c r="BB258">
        <f ca="1" xml:space="preserve"> IF( AND( OFFSET($A$1, 258 - 1, 52 - 1) = "1", OFFSET($A$1, 258 - 1, 53 - 1) = "1" ), 1, IF( AND( OFFSET($A$1, 258 - 1, 52 - 1) = "1", OFFSET($A$1, 258 - 1, 53 - 1) = "0" ), 2, IF( AND( OFFSET($A$1, 258 - 1, 52 - 1) = "0", OFFSET($A$1, 258 - 1, 53 - 1) = "1" ), 3, 4 ) ) )</f>
        <v>4</v>
      </c>
    </row>
    <row r="259" spans="51:54" x14ac:dyDescent="0.25">
      <c r="AY259" s="7">
        <v>0.14932701361322703</v>
      </c>
      <c r="AZ259" s="7" t="str">
        <f>"0"</f>
        <v>0</v>
      </c>
      <c r="BA259" t="str">
        <f ca="1">IF((OFFSET($A$1, 259 - 1, 51 - 1)) &gt;= (OFFSET($A$1, 68 - 1, 7 - 1)), "1","0")</f>
        <v>0</v>
      </c>
      <c r="BB259">
        <f ca="1" xml:space="preserve"> IF( AND( OFFSET($A$1, 259 - 1, 52 - 1) = "1", OFFSET($A$1, 259 - 1, 53 - 1) = "1" ), 1, IF( AND( OFFSET($A$1, 259 - 1, 52 - 1) = "1", OFFSET($A$1, 259 - 1, 53 - 1) = "0" ), 2, IF( AND( OFFSET($A$1, 259 - 1, 52 - 1) = "0", OFFSET($A$1, 259 - 1, 53 - 1) = "1" ), 3, 4 ) ) )</f>
        <v>4</v>
      </c>
    </row>
    <row r="260" spans="51:54" x14ac:dyDescent="0.25">
      <c r="AY260" s="7">
        <v>0.11925399383965792</v>
      </c>
      <c r="AZ260" s="7" t="str">
        <f>"0"</f>
        <v>0</v>
      </c>
      <c r="BA260" t="str">
        <f ca="1">IF((OFFSET($A$1, 260 - 1, 51 - 1)) &gt;= (OFFSET($A$1, 68 - 1, 7 - 1)), "1","0")</f>
        <v>0</v>
      </c>
      <c r="BB260">
        <f ca="1" xml:space="preserve"> IF( AND( OFFSET($A$1, 260 - 1, 52 - 1) = "1", OFFSET($A$1, 260 - 1, 53 - 1) = "1" ), 1, IF( AND( OFFSET($A$1, 260 - 1, 52 - 1) = "1", OFFSET($A$1, 260 - 1, 53 - 1) = "0" ), 2, IF( AND( OFFSET($A$1, 260 - 1, 52 - 1) = "0", OFFSET($A$1, 260 - 1, 53 - 1) = "1" ), 3, 4 ) ) )</f>
        <v>4</v>
      </c>
    </row>
    <row r="261" spans="51:54" x14ac:dyDescent="0.25">
      <c r="AY261" s="7">
        <v>0.16613884353893368</v>
      </c>
      <c r="AZ261" s="7" t="str">
        <f>"0"</f>
        <v>0</v>
      </c>
      <c r="BA261" t="str">
        <f ca="1">IF((OFFSET($A$1, 261 - 1, 51 - 1)) &gt;= (OFFSET($A$1, 68 - 1, 7 - 1)), "1","0")</f>
        <v>0</v>
      </c>
      <c r="BB261">
        <f ca="1" xml:space="preserve"> IF( AND( OFFSET($A$1, 261 - 1, 52 - 1) = "1", OFFSET($A$1, 261 - 1, 53 - 1) = "1" ), 1, IF( AND( OFFSET($A$1, 261 - 1, 52 - 1) = "1", OFFSET($A$1, 261 - 1, 53 - 1) = "0" ), 2, IF( AND( OFFSET($A$1, 261 - 1, 52 - 1) = "0", OFFSET($A$1, 261 - 1, 53 - 1) = "1" ), 3, 4 ) ) )</f>
        <v>4</v>
      </c>
    </row>
    <row r="262" spans="51:54" x14ac:dyDescent="0.25">
      <c r="AY262" s="7">
        <v>0.23457671248419984</v>
      </c>
      <c r="AZ262" s="7" t="str">
        <f>"0"</f>
        <v>0</v>
      </c>
      <c r="BA262" t="str">
        <f ca="1">IF((OFFSET($A$1, 262 - 1, 51 - 1)) &gt;= (OFFSET($A$1, 68 - 1, 7 - 1)), "1","0")</f>
        <v>0</v>
      </c>
      <c r="BB262">
        <f ca="1" xml:space="preserve"> IF( AND( OFFSET($A$1, 262 - 1, 52 - 1) = "1", OFFSET($A$1, 262 - 1, 53 - 1) = "1" ), 1, IF( AND( OFFSET($A$1, 262 - 1, 52 - 1) = "1", OFFSET($A$1, 262 - 1, 53 - 1) = "0" ), 2, IF( AND( OFFSET($A$1, 262 - 1, 52 - 1) = "0", OFFSET($A$1, 262 - 1, 53 - 1) = "1" ), 3, 4 ) ) )</f>
        <v>4</v>
      </c>
    </row>
    <row r="263" spans="51:54" x14ac:dyDescent="0.25">
      <c r="AY263" s="7">
        <v>0.14534959196865824</v>
      </c>
      <c r="AZ263" s="7" t="str">
        <f>"0"</f>
        <v>0</v>
      </c>
      <c r="BA263" t="str">
        <f ca="1">IF((OFFSET($A$1, 263 - 1, 51 - 1)) &gt;= (OFFSET($A$1, 68 - 1, 7 - 1)), "1","0")</f>
        <v>0</v>
      </c>
      <c r="BB263">
        <f ca="1" xml:space="preserve"> IF( AND( OFFSET($A$1, 263 - 1, 52 - 1) = "1", OFFSET($A$1, 263 - 1, 53 - 1) = "1" ), 1, IF( AND( OFFSET($A$1, 263 - 1, 52 - 1) = "1", OFFSET($A$1, 263 - 1, 53 - 1) = "0" ), 2, IF( AND( OFFSET($A$1, 263 - 1, 52 - 1) = "0", OFFSET($A$1, 263 - 1, 53 - 1) = "1" ), 3, 4 ) ) )</f>
        <v>4</v>
      </c>
    </row>
    <row r="264" spans="51:54" x14ac:dyDescent="0.25">
      <c r="AY264" s="7">
        <v>0.16613884353893368</v>
      </c>
      <c r="AZ264" s="7" t="str">
        <f>"0"</f>
        <v>0</v>
      </c>
      <c r="BA264" t="str">
        <f ca="1">IF((OFFSET($A$1, 264 - 1, 51 - 1)) &gt;= (OFFSET($A$1, 68 - 1, 7 - 1)), "1","0")</f>
        <v>0</v>
      </c>
      <c r="BB264">
        <f ca="1" xml:space="preserve"> IF( AND( OFFSET($A$1, 264 - 1, 52 - 1) = "1", OFFSET($A$1, 264 - 1, 53 - 1) = "1" ), 1, IF( AND( OFFSET($A$1, 264 - 1, 52 - 1) = "1", OFFSET($A$1, 264 - 1, 53 - 1) = "0" ), 2, IF( AND( OFFSET($A$1, 264 - 1, 52 - 1) = "0", OFFSET($A$1, 264 - 1, 53 - 1) = "1" ), 3, 4 ) ) )</f>
        <v>4</v>
      </c>
    </row>
    <row r="265" spans="51:54" x14ac:dyDescent="0.25">
      <c r="AY265" s="7">
        <v>0.22782381381309177</v>
      </c>
      <c r="AZ265" s="7" t="str">
        <f>"0"</f>
        <v>0</v>
      </c>
      <c r="BA265" t="str">
        <f ca="1">IF((OFFSET($A$1, 265 - 1, 51 - 1)) &gt;= (OFFSET($A$1, 68 - 1, 7 - 1)), "1","0")</f>
        <v>0</v>
      </c>
      <c r="BB265">
        <f ca="1" xml:space="preserve"> IF( AND( OFFSET($A$1, 265 - 1, 52 - 1) = "1", OFFSET($A$1, 265 - 1, 53 - 1) = "1" ), 1, IF( AND( OFFSET($A$1, 265 - 1, 52 - 1) = "1", OFFSET($A$1, 265 - 1, 53 - 1) = "0" ), 2, IF( AND( OFFSET($A$1, 265 - 1, 52 - 1) = "0", OFFSET($A$1, 265 - 1, 53 - 1) = "1" ), 3, 4 ) ) )</f>
        <v>4</v>
      </c>
    </row>
    <row r="266" spans="51:54" x14ac:dyDescent="0.25">
      <c r="AY266" s="7">
        <v>0.14692990577614271</v>
      </c>
      <c r="AZ266" s="7" t="str">
        <f>"0"</f>
        <v>0</v>
      </c>
      <c r="BA266" t="str">
        <f ca="1">IF((OFFSET($A$1, 266 - 1, 51 - 1)) &gt;= (OFFSET($A$1, 68 - 1, 7 - 1)), "1","0")</f>
        <v>0</v>
      </c>
      <c r="BB266">
        <f ca="1" xml:space="preserve"> IF( AND( OFFSET($A$1, 266 - 1, 52 - 1) = "1", OFFSET($A$1, 266 - 1, 53 - 1) = "1" ), 1, IF( AND( OFFSET($A$1, 266 - 1, 52 - 1) = "1", OFFSET($A$1, 266 - 1, 53 - 1) = "0" ), 2, IF( AND( OFFSET($A$1, 266 - 1, 52 - 1) = "0", OFFSET($A$1, 266 - 1, 53 - 1) = "1" ), 3, 4 ) ) )</f>
        <v>4</v>
      </c>
    </row>
    <row r="267" spans="51:54" x14ac:dyDescent="0.25">
      <c r="AY267" s="7">
        <v>0.12467823812708556</v>
      </c>
      <c r="AZ267" s="7" t="str">
        <f>"0"</f>
        <v>0</v>
      </c>
      <c r="BA267" t="str">
        <f ca="1">IF((OFFSET($A$1, 267 - 1, 51 - 1)) &gt;= (OFFSET($A$1, 68 - 1, 7 - 1)), "1","0")</f>
        <v>0</v>
      </c>
      <c r="BB267">
        <f ca="1" xml:space="preserve"> IF( AND( OFFSET($A$1, 267 - 1, 52 - 1) = "1", OFFSET($A$1, 267 - 1, 53 - 1) = "1" ), 1, IF( AND( OFFSET($A$1, 267 - 1, 52 - 1) = "1", OFFSET($A$1, 267 - 1, 53 - 1) = "0" ), 2, IF( AND( OFFSET($A$1, 267 - 1, 52 - 1) = "0", OFFSET($A$1, 267 - 1, 53 - 1) = "1" ), 3, 4 ) ) )</f>
        <v>4</v>
      </c>
    </row>
    <row r="268" spans="51:54" x14ac:dyDescent="0.25">
      <c r="AY268" s="7">
        <v>0.13321026998622063</v>
      </c>
      <c r="AZ268" s="7" t="str">
        <f>"0"</f>
        <v>0</v>
      </c>
      <c r="BA268" t="str">
        <f ca="1">IF((OFFSET($A$1, 268 - 1, 51 - 1)) &gt;= (OFFSET($A$1, 68 - 1, 7 - 1)), "1","0")</f>
        <v>0</v>
      </c>
      <c r="BB268">
        <f ca="1" xml:space="preserve"> IF( AND( OFFSET($A$1, 268 - 1, 52 - 1) = "1", OFFSET($A$1, 268 - 1, 53 - 1) = "1" ), 1, IF( AND( OFFSET($A$1, 268 - 1, 52 - 1) = "1", OFFSET($A$1, 268 - 1, 53 - 1) = "0" ), 2, IF( AND( OFFSET($A$1, 268 - 1, 52 - 1) = "0", OFFSET($A$1, 268 - 1, 53 - 1) = "1" ), 3, 4 ) ) )</f>
        <v>4</v>
      </c>
    </row>
    <row r="269" spans="51:54" x14ac:dyDescent="0.25">
      <c r="AY269" s="7">
        <v>0.14772538225017257</v>
      </c>
      <c r="AZ269" s="7" t="str">
        <f>"0"</f>
        <v>0</v>
      </c>
      <c r="BA269" t="str">
        <f ca="1">IF((OFFSET($A$1, 269 - 1, 51 - 1)) &gt;= (OFFSET($A$1, 68 - 1, 7 - 1)), "1","0")</f>
        <v>0</v>
      </c>
      <c r="BB269">
        <f ca="1" xml:space="preserve"> IF( AND( OFFSET($A$1, 269 - 1, 52 - 1) = "1", OFFSET($A$1, 269 - 1, 53 - 1) = "1" ), 1, IF( AND( OFFSET($A$1, 269 - 1, 52 - 1) = "1", OFFSET($A$1, 269 - 1, 53 - 1) = "0" ), 2, IF( AND( OFFSET($A$1, 269 - 1, 52 - 1) = "0", OFFSET($A$1, 269 - 1, 53 - 1) = "1" ), 3, 4 ) ) )</f>
        <v>4</v>
      </c>
    </row>
    <row r="270" spans="51:54" x14ac:dyDescent="0.25">
      <c r="AY270" s="7">
        <v>0.2779439374646816</v>
      </c>
      <c r="AZ270" s="7" t="str">
        <f>"0"</f>
        <v>0</v>
      </c>
      <c r="BA270" t="str">
        <f ca="1">IF((OFFSET($A$1, 270 - 1, 51 - 1)) &gt;= (OFFSET($A$1, 68 - 1, 7 - 1)), "1","0")</f>
        <v>0</v>
      </c>
      <c r="BB270">
        <f ca="1" xml:space="preserve"> IF( AND( OFFSET($A$1, 270 - 1, 52 - 1) = "1", OFFSET($A$1, 270 - 1, 53 - 1) = "1" ), 1, IF( AND( OFFSET($A$1, 270 - 1, 52 - 1) = "1", OFFSET($A$1, 270 - 1, 53 - 1) = "0" ), 2, IF( AND( OFFSET($A$1, 270 - 1, 52 - 1) = "0", OFFSET($A$1, 270 - 1, 53 - 1) = "1" ), 3, 4 ) ) )</f>
        <v>4</v>
      </c>
    </row>
    <row r="271" spans="51:54" x14ac:dyDescent="0.25">
      <c r="AY271" s="7">
        <v>0.23344165564113931</v>
      </c>
      <c r="AZ271" s="7" t="str">
        <f>"0"</f>
        <v>0</v>
      </c>
      <c r="BA271" t="str">
        <f ca="1">IF((OFFSET($A$1, 271 - 1, 51 - 1)) &gt;= (OFFSET($A$1, 68 - 1, 7 - 1)), "1","0")</f>
        <v>0</v>
      </c>
      <c r="BB271">
        <f ca="1" xml:space="preserve"> IF( AND( OFFSET($A$1, 271 - 1, 52 - 1) = "1", OFFSET($A$1, 271 - 1, 53 - 1) = "1" ), 1, IF( AND( OFFSET($A$1, 271 - 1, 52 - 1) = "1", OFFSET($A$1, 271 - 1, 53 - 1) = "0" ), 2, IF( AND( OFFSET($A$1, 271 - 1, 52 - 1) = "0", OFFSET($A$1, 271 - 1, 53 - 1) = "1" ), 3, 4 ) ) )</f>
        <v>4</v>
      </c>
    </row>
    <row r="272" spans="51:54" x14ac:dyDescent="0.25">
      <c r="AY272" s="7">
        <v>0.19217507898421096</v>
      </c>
      <c r="AZ272" s="7" t="str">
        <f>"1"</f>
        <v>1</v>
      </c>
      <c r="BA272" t="str">
        <f ca="1">IF((OFFSET($A$1, 272 - 1, 51 - 1)) &gt;= (OFFSET($A$1, 68 - 1, 7 - 1)), "1","0")</f>
        <v>0</v>
      </c>
      <c r="BB272">
        <f ca="1" xml:space="preserve"> IF( AND( OFFSET($A$1, 272 - 1, 52 - 1) = "1", OFFSET($A$1, 272 - 1, 53 - 1) = "1" ), 1, IF( AND( OFFSET($A$1, 272 - 1, 52 - 1) = "1", OFFSET($A$1, 272 - 1, 53 - 1) = "0" ), 2, IF( AND( OFFSET($A$1, 272 - 1, 52 - 1) = "0", OFFSET($A$1, 272 - 1, 53 - 1) = "1" ), 3, 4 ) ) )</f>
        <v>2</v>
      </c>
    </row>
    <row r="273" spans="51:54" x14ac:dyDescent="0.25">
      <c r="AY273" s="7">
        <v>0.15671205196085616</v>
      </c>
      <c r="AZ273" s="7" t="str">
        <f>"0"</f>
        <v>0</v>
      </c>
      <c r="BA273" t="str">
        <f ca="1">IF((OFFSET($A$1, 273 - 1, 51 - 1)) &gt;= (OFFSET($A$1, 68 - 1, 7 - 1)), "1","0")</f>
        <v>0</v>
      </c>
      <c r="BB273">
        <f ca="1" xml:space="preserve"> IF( AND( OFFSET($A$1, 273 - 1, 52 - 1) = "1", OFFSET($A$1, 273 - 1, 53 - 1) = "1" ), 1, IF( AND( OFFSET($A$1, 273 - 1, 52 - 1) = "1", OFFSET($A$1, 273 - 1, 53 - 1) = "0" ), 2, IF( AND( OFFSET($A$1, 273 - 1, 52 - 1) = "0", OFFSET($A$1, 273 - 1, 53 - 1) = "1" ), 3, 4 ) ) )</f>
        <v>4</v>
      </c>
    </row>
    <row r="274" spans="51:54" x14ac:dyDescent="0.25">
      <c r="AY274" s="7">
        <v>0.18924315865356911</v>
      </c>
      <c r="AZ274" s="7" t="str">
        <f>"0"</f>
        <v>0</v>
      </c>
      <c r="BA274" t="str">
        <f ca="1">IF((OFFSET($A$1, 274 - 1, 51 - 1)) &gt;= (OFFSET($A$1, 68 - 1, 7 - 1)), "1","0")</f>
        <v>0</v>
      </c>
      <c r="BB274">
        <f ca="1" xml:space="preserve"> IF( AND( OFFSET($A$1, 274 - 1, 52 - 1) = "1", OFFSET($A$1, 274 - 1, 53 - 1) = "1" ), 1, IF( AND( OFFSET($A$1, 274 - 1, 52 - 1) = "1", OFFSET($A$1, 274 - 1, 53 - 1) = "0" ), 2, IF( AND( OFFSET($A$1, 274 - 1, 52 - 1) = "0", OFFSET($A$1, 274 - 1, 53 - 1) = "1" ), 3, 4 ) ) )</f>
        <v>4</v>
      </c>
    </row>
    <row r="275" spans="51:54" x14ac:dyDescent="0.25">
      <c r="AY275" s="7">
        <v>0.20016233311628354</v>
      </c>
      <c r="AZ275" s="7" t="str">
        <f>"1"</f>
        <v>1</v>
      </c>
      <c r="BA275" t="str">
        <f ca="1">IF((OFFSET($A$1, 275 - 1, 51 - 1)) &gt;= (OFFSET($A$1, 68 - 1, 7 - 1)), "1","0")</f>
        <v>0</v>
      </c>
      <c r="BB275">
        <f ca="1" xml:space="preserve"> IF( AND( OFFSET($A$1, 275 - 1, 52 - 1) = "1", OFFSET($A$1, 275 - 1, 53 - 1) = "1" ), 1, IF( AND( OFFSET($A$1, 275 - 1, 52 - 1) = "1", OFFSET($A$1, 275 - 1, 53 - 1) = "0" ), 2, IF( AND( OFFSET($A$1, 275 - 1, 52 - 1) = "0", OFFSET($A$1, 275 - 1, 53 - 1) = "1" ), 3, 4 ) ) )</f>
        <v>2</v>
      </c>
    </row>
    <row r="276" spans="51:54" x14ac:dyDescent="0.25">
      <c r="AY276" s="7">
        <v>0.16008857311761521</v>
      </c>
      <c r="AZ276" s="7" t="str">
        <f>"0"</f>
        <v>0</v>
      </c>
      <c r="BA276" t="str">
        <f ca="1">IF((OFFSET($A$1, 276 - 1, 51 - 1)) &gt;= (OFFSET($A$1, 68 - 1, 7 - 1)), "1","0")</f>
        <v>0</v>
      </c>
      <c r="BB276">
        <f ca="1" xml:space="preserve"> IF( AND( OFFSET($A$1, 276 - 1, 52 - 1) = "1", OFFSET($A$1, 276 - 1, 53 - 1) = "1" ), 1, IF( AND( OFFSET($A$1, 276 - 1, 52 - 1) = "1", OFFSET($A$1, 276 - 1, 53 - 1) = "0" ), 2, IF( AND( OFFSET($A$1, 276 - 1, 52 - 1) = "0", OFFSET($A$1, 276 - 1, 53 - 1) = "1" ), 3, 4 ) ) )</f>
        <v>4</v>
      </c>
    </row>
    <row r="277" spans="51:54" x14ac:dyDescent="0.25">
      <c r="AY277" s="7">
        <v>0.1951414900904731</v>
      </c>
      <c r="AZ277" s="7" t="str">
        <f>"0"</f>
        <v>0</v>
      </c>
      <c r="BA277" t="str">
        <f ca="1">IF((OFFSET($A$1, 277 - 1, 51 - 1)) &gt;= (OFFSET($A$1, 68 - 1, 7 - 1)), "1","0")</f>
        <v>0</v>
      </c>
      <c r="BB277">
        <f ca="1" xml:space="preserve"> IF( AND( OFFSET($A$1, 277 - 1, 52 - 1) = "1", OFFSET($A$1, 277 - 1, 53 - 1) = "1" ), 1, IF( AND( OFFSET($A$1, 277 - 1, 52 - 1) = "1", OFFSET($A$1, 277 - 1, 53 - 1) = "0" ), 2, IF( AND( OFFSET($A$1, 277 - 1, 52 - 1) = "0", OFFSET($A$1, 277 - 1, 53 - 1) = "1" ), 3, 4 ) ) )</f>
        <v>4</v>
      </c>
    </row>
    <row r="278" spans="51:54" x14ac:dyDescent="0.25">
      <c r="AY278" s="7">
        <v>0.15755070775611613</v>
      </c>
      <c r="AZ278" s="7" t="str">
        <f>"0"</f>
        <v>0</v>
      </c>
      <c r="BA278" t="str">
        <f ca="1">IF((OFFSET($A$1, 278 - 1, 51 - 1)) &gt;= (OFFSET($A$1, 68 - 1, 7 - 1)), "1","0")</f>
        <v>0</v>
      </c>
      <c r="BB278">
        <f ca="1" xml:space="preserve"> IF( AND( OFFSET($A$1, 278 - 1, 52 - 1) = "1", OFFSET($A$1, 278 - 1, 53 - 1) = "1" ), 1, IF( AND( OFFSET($A$1, 278 - 1, 52 - 1) = "1", OFFSET($A$1, 278 - 1, 53 - 1) = "0" ), 2, IF( AND( OFFSET($A$1, 278 - 1, 52 - 1) = "0", OFFSET($A$1, 278 - 1, 53 - 1) = "1" ), 3, 4 ) ) )</f>
        <v>4</v>
      </c>
    </row>
    <row r="279" spans="51:54" x14ac:dyDescent="0.25">
      <c r="AY279" s="7">
        <v>0.25807455694098486</v>
      </c>
      <c r="AZ279" s="7" t="str">
        <f>"0"</f>
        <v>0</v>
      </c>
      <c r="BA279" t="str">
        <f ca="1">IF((OFFSET($A$1, 279 - 1, 51 - 1)) &gt;= (OFFSET($A$1, 68 - 1, 7 - 1)), "1","0")</f>
        <v>0</v>
      </c>
      <c r="BB279">
        <f ca="1" xml:space="preserve"> IF( AND( OFFSET($A$1, 279 - 1, 52 - 1) = "1", OFFSET($A$1, 279 - 1, 53 - 1) = "1" ), 1, IF( AND( OFFSET($A$1, 279 - 1, 52 - 1) = "1", OFFSET($A$1, 279 - 1, 53 - 1) = "0" ), 2, IF( AND( OFFSET($A$1, 279 - 1, 52 - 1) = "0", OFFSET($A$1, 279 - 1, 53 - 1) = "1" ), 3, 4 ) ) )</f>
        <v>4</v>
      </c>
    </row>
    <row r="280" spans="51:54" x14ac:dyDescent="0.25">
      <c r="AY280" s="7">
        <v>0.18924315865356914</v>
      </c>
      <c r="AZ280" s="7" t="str">
        <f>"1"</f>
        <v>1</v>
      </c>
      <c r="BA280" t="str">
        <f ca="1">IF((OFFSET($A$1, 280 - 1, 51 - 1)) &gt;= (OFFSET($A$1, 68 - 1, 7 - 1)), "1","0")</f>
        <v>0</v>
      </c>
      <c r="BB280">
        <f ca="1" xml:space="preserve"> IF( AND( OFFSET($A$1, 280 - 1, 52 - 1) = "1", OFFSET($A$1, 280 - 1, 53 - 1) = "1" ), 1, IF( AND( OFFSET($A$1, 280 - 1, 52 - 1) = "1", OFFSET($A$1, 280 - 1, 53 - 1) = "0" ), 2, IF( AND( OFFSET($A$1, 280 - 1, 52 - 1) = "0", OFFSET($A$1, 280 - 1, 53 - 1) = "1" ), 3, 4 ) ) )</f>
        <v>2</v>
      </c>
    </row>
    <row r="281" spans="51:54" x14ac:dyDescent="0.25">
      <c r="AY281" s="7">
        <v>0.19021663773395503</v>
      </c>
      <c r="AZ281" s="7" t="str">
        <f>"1"</f>
        <v>1</v>
      </c>
      <c r="BA281" t="str">
        <f ca="1">IF((OFFSET($A$1, 281 - 1, 51 - 1)) &gt;= (OFFSET($A$1, 68 - 1, 7 - 1)), "1","0")</f>
        <v>0</v>
      </c>
      <c r="BB281">
        <f ca="1" xml:space="preserve"> IF( AND( OFFSET($A$1, 281 - 1, 52 - 1) = "1", OFFSET($A$1, 281 - 1, 53 - 1) = "1" ), 1, IF( AND( OFFSET($A$1, 281 - 1, 52 - 1) = "1", OFFSET($A$1, 281 - 1, 53 - 1) = "0" ), 2, IF( AND( OFFSET($A$1, 281 - 1, 52 - 1) = "0", OFFSET($A$1, 281 - 1, 53 - 1) = "1" ), 3, 4 ) ) )</f>
        <v>2</v>
      </c>
    </row>
    <row r="282" spans="51:54" x14ac:dyDescent="0.25">
      <c r="AY282" s="7">
        <v>0.21903503426978932</v>
      </c>
      <c r="AZ282" s="7" t="str">
        <f>"0"</f>
        <v>0</v>
      </c>
      <c r="BA282" t="str">
        <f ca="1">IF((OFFSET($A$1, 282 - 1, 51 - 1)) &gt;= (OFFSET($A$1, 68 - 1, 7 - 1)), "1","0")</f>
        <v>0</v>
      </c>
      <c r="BB282">
        <f ca="1" xml:space="preserve"> IF( AND( OFFSET($A$1, 282 - 1, 52 - 1) = "1", OFFSET($A$1, 282 - 1, 53 - 1) = "1" ), 1, IF( AND( OFFSET($A$1, 282 - 1, 52 - 1) = "1", OFFSET($A$1, 282 - 1, 53 - 1) = "0" ), 2, IF( AND( OFFSET($A$1, 282 - 1, 52 - 1) = "0", OFFSET($A$1, 282 - 1, 53 - 1) = "1" ), 3, 4 ) ) )</f>
        <v>4</v>
      </c>
    </row>
    <row r="283" spans="51:54" x14ac:dyDescent="0.25">
      <c r="AY283" s="7">
        <v>0.26050689602994787</v>
      </c>
      <c r="AZ283" s="7" t="str">
        <f>"0"</f>
        <v>0</v>
      </c>
      <c r="BA283" t="str">
        <f ca="1">IF((OFFSET($A$1, 283 - 1, 51 - 1)) &gt;= (OFFSET($A$1, 68 - 1, 7 - 1)), "1","0")</f>
        <v>0</v>
      </c>
      <c r="BB283">
        <f ca="1" xml:space="preserve"> IF( AND( OFFSET($A$1, 283 - 1, 52 - 1) = "1", OFFSET($A$1, 283 - 1, 53 - 1) = "1" ), 1, IF( AND( OFFSET($A$1, 283 - 1, 52 - 1) = "1", OFFSET($A$1, 283 - 1, 53 - 1) = "0" ), 2, IF( AND( OFFSET($A$1, 283 - 1, 52 - 1) = "0", OFFSET($A$1, 283 - 1, 53 - 1) = "1" ), 3, 4 ) ) )</f>
        <v>4</v>
      </c>
    </row>
    <row r="284" spans="51:54" x14ac:dyDescent="0.25">
      <c r="AY284" s="7">
        <v>0.20424828760241162</v>
      </c>
      <c r="AZ284" s="7" t="str">
        <f>"0"</f>
        <v>0</v>
      </c>
      <c r="BA284" t="str">
        <f ca="1">IF((OFFSET($A$1, 284 - 1, 51 - 1)) &gt;= (OFFSET($A$1, 68 - 1, 7 - 1)), "1","0")</f>
        <v>0</v>
      </c>
      <c r="BB284">
        <f ca="1" xml:space="preserve"> IF( AND( OFFSET($A$1, 284 - 1, 52 - 1) = "1", OFFSET($A$1, 284 - 1, 53 - 1) = "1" ), 1, IF( AND( OFFSET($A$1, 284 - 1, 52 - 1) = "1", OFFSET($A$1, 284 - 1, 53 - 1) = "0" ), 2, IF( AND( OFFSET($A$1, 284 - 1, 52 - 1) = "0", OFFSET($A$1, 284 - 1, 53 - 1) = "1" ), 3, 4 ) ) )</f>
        <v>4</v>
      </c>
    </row>
    <row r="285" spans="51:54" x14ac:dyDescent="0.25">
      <c r="AY285" s="7">
        <v>0.16613884353893368</v>
      </c>
      <c r="AZ285" s="7" t="str">
        <f>"0"</f>
        <v>0</v>
      </c>
      <c r="BA285" t="str">
        <f ca="1">IF((OFFSET($A$1, 285 - 1, 51 - 1)) &gt;= (OFFSET($A$1, 68 - 1, 7 - 1)), "1","0")</f>
        <v>0</v>
      </c>
      <c r="BB285">
        <f ca="1" xml:space="preserve"> IF( AND( OFFSET($A$1, 285 - 1, 52 - 1) = "1", OFFSET($A$1, 285 - 1, 53 - 1) = "1" ), 1, IF( AND( OFFSET($A$1, 285 - 1, 52 - 1) = "1", OFFSET($A$1, 285 - 1, 53 - 1) = "0" ), 2, IF( AND( OFFSET($A$1, 285 - 1, 52 - 1) = "0", OFFSET($A$1, 285 - 1, 53 - 1) = "1" ), 3, 4 ) ) )</f>
        <v>4</v>
      </c>
    </row>
    <row r="286" spans="51:54" x14ac:dyDescent="0.25">
      <c r="AY286" s="7">
        <v>0.20735322501989456</v>
      </c>
      <c r="AZ286" s="7" t="str">
        <f>"1"</f>
        <v>1</v>
      </c>
      <c r="BA286" t="str">
        <f ca="1">IF((OFFSET($A$1, 286 - 1, 51 - 1)) &gt;= (OFFSET($A$1, 68 - 1, 7 - 1)), "1","0")</f>
        <v>0</v>
      </c>
      <c r="BB286">
        <f ca="1" xml:space="preserve"> IF( AND( OFFSET($A$1, 286 - 1, 52 - 1) = "1", OFFSET($A$1, 286 - 1, 53 - 1) = "1" ), 1, IF( AND( OFFSET($A$1, 286 - 1, 52 - 1) = "1", OFFSET($A$1, 286 - 1, 53 - 1) = "0" ), 2, IF( AND( OFFSET($A$1, 286 - 1, 52 - 1) = "0", OFFSET($A$1, 286 - 1, 53 - 1) = "1" ), 3, 4 ) ) )</f>
        <v>2</v>
      </c>
    </row>
    <row r="287" spans="51:54" x14ac:dyDescent="0.25">
      <c r="AY287" s="7">
        <v>0.21687635285058307</v>
      </c>
      <c r="AZ287" s="7" t="str">
        <f>"0"</f>
        <v>0</v>
      </c>
      <c r="BA287" t="str">
        <f ca="1">IF((OFFSET($A$1, 287 - 1, 51 - 1)) &gt;= (OFFSET($A$1, 68 - 1, 7 - 1)), "1","0")</f>
        <v>0</v>
      </c>
      <c r="BB287">
        <f ca="1" xml:space="preserve"> IF( AND( OFFSET($A$1, 287 - 1, 52 - 1) = "1", OFFSET($A$1, 287 - 1, 53 - 1) = "1" ), 1, IF( AND( OFFSET($A$1, 287 - 1, 52 - 1) = "1", OFFSET($A$1, 287 - 1, 53 - 1) = "0" ), 2, IF( AND( OFFSET($A$1, 287 - 1, 52 - 1) = "0", OFFSET($A$1, 287 - 1, 53 - 1) = "1" ), 3, 4 ) ) )</f>
        <v>4</v>
      </c>
    </row>
    <row r="288" spans="51:54" x14ac:dyDescent="0.25">
      <c r="AY288" s="7">
        <v>0.14378341048428475</v>
      </c>
      <c r="AZ288" s="7" t="str">
        <f>"0"</f>
        <v>0</v>
      </c>
      <c r="BA288" t="str">
        <f ca="1">IF((OFFSET($A$1, 288 - 1, 51 - 1)) &gt;= (OFFSET($A$1, 68 - 1, 7 - 1)), "1","0")</f>
        <v>0</v>
      </c>
      <c r="BB288">
        <f ca="1" xml:space="preserve"> IF( AND( OFFSET($A$1, 288 - 1, 52 - 1) = "1", OFFSET($A$1, 288 - 1, 53 - 1) = "1" ), 1, IF( AND( OFFSET($A$1, 288 - 1, 52 - 1) = "1", OFFSET($A$1, 288 - 1, 53 - 1) = "0" ), 2, IF( AND( OFFSET($A$1, 288 - 1, 52 - 1) = "0", OFFSET($A$1, 288 - 1, 53 - 1) = "1" ), 3, 4 ) ) )</f>
        <v>4</v>
      </c>
    </row>
    <row r="289" spans="51:54" x14ac:dyDescent="0.25">
      <c r="AY289" s="7">
        <v>0.21260527042554705</v>
      </c>
      <c r="AZ289" s="7" t="str">
        <f>"1"</f>
        <v>1</v>
      </c>
      <c r="BA289" t="str">
        <f ca="1">IF((OFFSET($A$1, 289 - 1, 51 - 1)) &gt;= (OFFSET($A$1, 68 - 1, 7 - 1)), "1","0")</f>
        <v>0</v>
      </c>
      <c r="BB289">
        <f ca="1" xml:space="preserve"> IF( AND( OFFSET($A$1, 289 - 1, 52 - 1) = "1", OFFSET($A$1, 289 - 1, 53 - 1) = "1" ), 1, IF( AND( OFFSET($A$1, 289 - 1, 52 - 1) = "1", OFFSET($A$1, 289 - 1, 53 - 1) = "0" ), 2, IF( AND( OFFSET($A$1, 289 - 1, 52 - 1) = "0", OFFSET($A$1, 289 - 1, 53 - 1) = "1" ), 3, 4 ) ) )</f>
        <v>2</v>
      </c>
    </row>
    <row r="290" spans="51:54" x14ac:dyDescent="0.25">
      <c r="AY290" s="7">
        <v>0.20322101952373944</v>
      </c>
      <c r="AZ290" s="7" t="str">
        <f>"0"</f>
        <v>0</v>
      </c>
      <c r="BA290" t="str">
        <f ca="1">IF((OFFSET($A$1, 290 - 1, 51 - 1)) &gt;= (OFFSET($A$1, 68 - 1, 7 - 1)), "1","0")</f>
        <v>0</v>
      </c>
      <c r="BB290">
        <f ca="1" xml:space="preserve"> IF( AND( OFFSET($A$1, 290 - 1, 52 - 1) = "1", OFFSET($A$1, 290 - 1, 53 - 1) = "1" ), 1, IF( AND( OFFSET($A$1, 290 - 1, 52 - 1) = "1", OFFSET($A$1, 290 - 1, 53 - 1) = "0" ), 2, IF( AND( OFFSET($A$1, 290 - 1, 52 - 1) = "0", OFFSET($A$1, 290 - 1, 53 - 1) = "1" ), 3, 4 ) ) )</f>
        <v>4</v>
      </c>
    </row>
    <row r="291" spans="51:54" x14ac:dyDescent="0.25">
      <c r="AY291" s="7">
        <v>0.20424828760241162</v>
      </c>
      <c r="AZ291" s="7" t="str">
        <f>"0"</f>
        <v>0</v>
      </c>
      <c r="BA291" t="str">
        <f ca="1">IF((OFFSET($A$1, 291 - 1, 51 - 1)) &gt;= (OFFSET($A$1, 68 - 1, 7 - 1)), "1","0")</f>
        <v>0</v>
      </c>
      <c r="BB291">
        <f ca="1" xml:space="preserve"> IF( AND( OFFSET($A$1, 291 - 1, 52 - 1) = "1", OFFSET($A$1, 291 - 1, 53 - 1) = "1" ), 1, IF( AND( OFFSET($A$1, 291 - 1, 52 - 1) = "1", OFFSET($A$1, 291 - 1, 53 - 1) = "0" ), 2, IF( AND( OFFSET($A$1, 291 - 1, 52 - 1) = "0", OFFSET($A$1, 291 - 1, 53 - 1) = "1" ), 3, 4 ) ) )</f>
        <v>4</v>
      </c>
    </row>
    <row r="292" spans="51:54" x14ac:dyDescent="0.25">
      <c r="AY292" s="7">
        <v>0.10901612327706026</v>
      </c>
      <c r="AZ292" s="7" t="str">
        <f>"0"</f>
        <v>0</v>
      </c>
      <c r="BA292" t="str">
        <f ca="1">IF((OFFSET($A$1, 292 - 1, 51 - 1)) &gt;= (OFFSET($A$1, 68 - 1, 7 - 1)), "1","0")</f>
        <v>0</v>
      </c>
      <c r="BB292">
        <f ca="1" xml:space="preserve"> IF( AND( OFFSET($A$1, 292 - 1, 52 - 1) = "1", OFFSET($A$1, 292 - 1, 53 - 1) = "1" ), 1, IF( AND( OFFSET($A$1, 292 - 1, 52 - 1) = "1", OFFSET($A$1, 292 - 1, 53 - 1) = "0" ), 2, IF( AND( OFFSET($A$1, 292 - 1, 52 - 1) = "0", OFFSET($A$1, 292 - 1, 53 - 1) = "1" ), 3, 4 ) ) )</f>
        <v>4</v>
      </c>
    </row>
    <row r="293" spans="51:54" x14ac:dyDescent="0.25">
      <c r="AY293" s="7">
        <v>0.15839300868263137</v>
      </c>
      <c r="AZ293" s="7" t="str">
        <f>"1"</f>
        <v>1</v>
      </c>
      <c r="BA293" t="str">
        <f ca="1">IF((OFFSET($A$1, 293 - 1, 51 - 1)) &gt;= (OFFSET($A$1, 68 - 1, 7 - 1)), "1","0")</f>
        <v>0</v>
      </c>
      <c r="BB293">
        <f ca="1" xml:space="preserve"> IF( AND( OFFSET($A$1, 293 - 1, 52 - 1) = "1", OFFSET($A$1, 293 - 1, 53 - 1) = "1" ), 1, IF( AND( OFFSET($A$1, 293 - 1, 52 - 1) = "1", OFFSET($A$1, 293 - 1, 53 - 1) = "0" ), 2, IF( AND( OFFSET($A$1, 293 - 1, 52 - 1) = "0", OFFSET($A$1, 293 - 1, 53 - 1) = "1" ), 3, 4 ) ) )</f>
        <v>2</v>
      </c>
    </row>
    <row r="294" spans="51:54" x14ac:dyDescent="0.25">
      <c r="AY294" s="7">
        <v>0.22671175430712207</v>
      </c>
      <c r="AZ294" s="7" t="str">
        <f>"1"</f>
        <v>1</v>
      </c>
      <c r="BA294" t="str">
        <f ca="1">IF((OFFSET($A$1, 294 - 1, 51 - 1)) &gt;= (OFFSET($A$1, 68 - 1, 7 - 1)), "1","0")</f>
        <v>0</v>
      </c>
      <c r="BB294">
        <f ca="1" xml:space="preserve"> IF( AND( OFFSET($A$1, 294 - 1, 52 - 1) = "1", OFFSET($A$1, 294 - 1, 53 - 1) = "1" ), 1, IF( AND( OFFSET($A$1, 294 - 1, 52 - 1) = "1", OFFSET($A$1, 294 - 1, 53 - 1) = "0" ), 2, IF( AND( OFFSET($A$1, 294 - 1, 52 - 1) = "0", OFFSET($A$1, 294 - 1, 53 - 1) = "1" ), 3, 4 ) ) )</f>
        <v>2</v>
      </c>
    </row>
    <row r="295" spans="51:54" x14ac:dyDescent="0.25">
      <c r="AY295" s="7">
        <v>0.17418507262711561</v>
      </c>
      <c r="AZ295" s="7" t="str">
        <f>"0"</f>
        <v>0</v>
      </c>
      <c r="BA295" t="str">
        <f ca="1">IF((OFFSET($A$1, 295 - 1, 51 - 1)) &gt;= (OFFSET($A$1, 68 - 1, 7 - 1)), "1","0")</f>
        <v>0</v>
      </c>
      <c r="BB295">
        <f ca="1" xml:space="preserve"> IF( AND( OFFSET($A$1, 295 - 1, 52 - 1) = "1", OFFSET($A$1, 295 - 1, 53 - 1) = "1" ), 1, IF( AND( OFFSET($A$1, 295 - 1, 52 - 1) = "1", OFFSET($A$1, 295 - 1, 53 - 1) = "0" ), 2, IF( AND( OFFSET($A$1, 295 - 1, 52 - 1) = "0", OFFSET($A$1, 295 - 1, 53 - 1) = "1" ), 3, 4 ) ) )</f>
        <v>4</v>
      </c>
    </row>
    <row r="296" spans="51:54" x14ac:dyDescent="0.25">
      <c r="AY296" s="7">
        <v>0.20631438947420566</v>
      </c>
      <c r="AZ296" s="7" t="str">
        <f>"0"</f>
        <v>0</v>
      </c>
      <c r="BA296" t="str">
        <f ca="1">IF((OFFSET($A$1, 296 - 1, 51 - 1)) &gt;= (OFFSET($A$1, 68 - 1, 7 - 1)), "1","0")</f>
        <v>0</v>
      </c>
      <c r="BB296">
        <f ca="1" xml:space="preserve"> IF( AND( OFFSET($A$1, 296 - 1, 52 - 1) = "1", OFFSET($A$1, 296 - 1, 53 - 1) = "1" ), 1, IF( AND( OFFSET($A$1, 296 - 1, 52 - 1) = "1", OFFSET($A$1, 296 - 1, 53 - 1) = "0" ), 2, IF( AND( OFFSET($A$1, 296 - 1, 52 - 1) = "0", OFFSET($A$1, 296 - 1, 53 - 1) = "1" ), 3, 4 ) ) )</f>
        <v>4</v>
      </c>
    </row>
    <row r="297" spans="51:54" x14ac:dyDescent="0.25">
      <c r="AY297" s="7">
        <v>0.24379442904804977</v>
      </c>
      <c r="AZ297" s="7" t="str">
        <f>"0"</f>
        <v>0</v>
      </c>
      <c r="BA297" t="str">
        <f ca="1">IF((OFFSET($A$1, 297 - 1, 51 - 1)) &gt;= (OFFSET($A$1, 68 - 1, 7 - 1)), "1","0")</f>
        <v>0</v>
      </c>
      <c r="BB297">
        <f ca="1" xml:space="preserve"> IF( AND( OFFSET($A$1, 297 - 1, 52 - 1) = "1", OFFSET($A$1, 297 - 1, 53 - 1) = "1" ), 1, IF( AND( OFFSET($A$1, 297 - 1, 52 - 1) = "1", OFFSET($A$1, 297 - 1, 53 - 1) = "0" ), 2, IF( AND( OFFSET($A$1, 297 - 1, 52 - 1) = "0", OFFSET($A$1, 297 - 1, 53 - 1) = "1" ), 3, 4 ) ) )</f>
        <v>4</v>
      </c>
    </row>
    <row r="298" spans="51:54" x14ac:dyDescent="0.25">
      <c r="AY298" s="7">
        <v>0.23457671248419984</v>
      </c>
      <c r="AZ298" s="7" t="str">
        <f>"0"</f>
        <v>0</v>
      </c>
      <c r="BA298" t="str">
        <f ca="1">IF((OFFSET($A$1, 298 - 1, 51 - 1)) &gt;= (OFFSET($A$1, 68 - 1, 7 - 1)), "1","0")</f>
        <v>0</v>
      </c>
      <c r="BB298">
        <f ca="1" xml:space="preserve"> IF( AND( OFFSET($A$1, 298 - 1, 52 - 1) = "1", OFFSET($A$1, 298 - 1, 53 - 1) = "1" ), 1, IF( AND( OFFSET($A$1, 298 - 1, 52 - 1) = "1", OFFSET($A$1, 298 - 1, 53 - 1) = "0" ), 2, IF( AND( OFFSET($A$1, 298 - 1, 52 - 1) = "0", OFFSET($A$1, 298 - 1, 53 - 1) = "1" ), 3, 4 ) ) )</f>
        <v>4</v>
      </c>
    </row>
    <row r="299" spans="51:54" x14ac:dyDescent="0.25">
      <c r="AY299" s="7">
        <v>0.22012015701298474</v>
      </c>
      <c r="AZ299" s="7" t="str">
        <f>"0"</f>
        <v>0</v>
      </c>
      <c r="BA299" t="str">
        <f ca="1">IF((OFFSET($A$1, 299 - 1, 51 - 1)) &gt;= (OFFSET($A$1, 68 - 1, 7 - 1)), "1","0")</f>
        <v>0</v>
      </c>
      <c r="BB299">
        <f ca="1" xml:space="preserve"> IF( AND( OFFSET($A$1, 299 - 1, 52 - 1) = "1", OFFSET($A$1, 299 - 1, 53 - 1) = "1" ), 1, IF( AND( OFFSET($A$1, 299 - 1, 52 - 1) = "1", OFFSET($A$1, 299 - 1, 53 - 1) = "0" ), 2, IF( AND( OFFSET($A$1, 299 - 1, 52 - 1) = "0", OFFSET($A$1, 299 - 1, 53 - 1) = "1" ), 3, 4 ) ) )</f>
        <v>4</v>
      </c>
    </row>
    <row r="300" spans="51:54" x14ac:dyDescent="0.25">
      <c r="AY300" s="7">
        <v>0.21260527042554705</v>
      </c>
      <c r="AZ300" s="7" t="str">
        <f>"0"</f>
        <v>0</v>
      </c>
      <c r="BA300" t="str">
        <f ca="1">IF((OFFSET($A$1, 300 - 1, 51 - 1)) &gt;= (OFFSET($A$1, 68 - 1, 7 - 1)), "1","0")</f>
        <v>0</v>
      </c>
      <c r="BB300">
        <f ca="1" xml:space="preserve"> IF( AND( OFFSET($A$1, 300 - 1, 52 - 1) = "1", OFFSET($A$1, 300 - 1, 53 - 1) = "1" ), 1, IF( AND( OFFSET($A$1, 300 - 1, 52 - 1) = "1", OFFSET($A$1, 300 - 1, 53 - 1) = "0" ), 2, IF( AND( OFFSET($A$1, 300 - 1, 52 - 1) = "0", OFFSET($A$1, 300 - 1, 53 - 1) = "1" ), 3, 4 ) ) )</f>
        <v>4</v>
      </c>
    </row>
  </sheetData>
  <mergeCells count="73">
    <mergeCell ref="B3:K3"/>
    <mergeCell ref="N3:Q3"/>
    <mergeCell ref="J4:K4"/>
    <mergeCell ref="B5:C5"/>
    <mergeCell ref="D5:E5"/>
    <mergeCell ref="F5:G5"/>
    <mergeCell ref="H5:I5"/>
    <mergeCell ref="J5:K5"/>
    <mergeCell ref="C110:D110"/>
    <mergeCell ref="C111:D111"/>
    <mergeCell ref="B4:C4"/>
    <mergeCell ref="D4:E4"/>
    <mergeCell ref="F4:G4"/>
    <mergeCell ref="H4:I4"/>
    <mergeCell ref="D95:E95"/>
    <mergeCell ref="C100:F100"/>
    <mergeCell ref="C106:E106"/>
    <mergeCell ref="C107:D107"/>
    <mergeCell ref="C108:D108"/>
    <mergeCell ref="C109:D109"/>
    <mergeCell ref="C85:D85"/>
    <mergeCell ref="C86:D86"/>
    <mergeCell ref="C87:D87"/>
    <mergeCell ref="C92:F92"/>
    <mergeCell ref="H92:M92"/>
    <mergeCell ref="C94:E94"/>
    <mergeCell ref="C70:E70"/>
    <mergeCell ref="D71:E71"/>
    <mergeCell ref="C76:F76"/>
    <mergeCell ref="C82:E82"/>
    <mergeCell ref="C83:D83"/>
    <mergeCell ref="C84:D84"/>
    <mergeCell ref="C42:G42"/>
    <mergeCell ref="C51:E51"/>
    <mergeCell ref="C53:D53"/>
    <mergeCell ref="E53:F53"/>
    <mergeCell ref="C68:F68"/>
    <mergeCell ref="H68:M68"/>
    <mergeCell ref="G31:J31"/>
    <mergeCell ref="C33:G33"/>
    <mergeCell ref="C34:G34"/>
    <mergeCell ref="C35:G35"/>
    <mergeCell ref="C36:G36"/>
    <mergeCell ref="C37:G37"/>
    <mergeCell ref="C27:F27"/>
    <mergeCell ref="C28:F28"/>
    <mergeCell ref="C29:F29"/>
    <mergeCell ref="C30:F30"/>
    <mergeCell ref="C31:F31"/>
    <mergeCell ref="G26:J26"/>
    <mergeCell ref="G27:J27"/>
    <mergeCell ref="G28:J28"/>
    <mergeCell ref="G29:J29"/>
    <mergeCell ref="G30:J30"/>
    <mergeCell ref="C20:E20"/>
    <mergeCell ref="C21:D21"/>
    <mergeCell ref="C22:D22"/>
    <mergeCell ref="C23:D23"/>
    <mergeCell ref="C25:J25"/>
    <mergeCell ref="C26:F26"/>
    <mergeCell ref="C18:F18"/>
    <mergeCell ref="G13:K13"/>
    <mergeCell ref="G14:K14"/>
    <mergeCell ref="G15:K15"/>
    <mergeCell ref="G16:K16"/>
    <mergeCell ref="G17:K17"/>
    <mergeCell ref="G18:K18"/>
    <mergeCell ref="C12:K12"/>
    <mergeCell ref="C13:F13"/>
    <mergeCell ref="C14:F14"/>
    <mergeCell ref="C15:F15"/>
    <mergeCell ref="C16:F16"/>
    <mergeCell ref="C17:F17"/>
  </mergeCells>
  <hyperlinks>
    <hyperlink ref="B4" location="'LR_Output1'!$B$10:$B$10" display="Inputs"/>
    <hyperlink ref="D4" location="'LR_Output1'!$B$40:$B$40" display="Prior Class Prob."/>
    <hyperlink ref="F4" location="'LR_Output1'!$B$49:$B$49" display="Predictors"/>
    <hyperlink ref="H4" location="'LR_Output1'!$B$59:$B$59" display="Regress. Model"/>
    <hyperlink ref="J4" location="'LR_Output1'!$B$66:$B$66" display="Train. Score Summary"/>
    <hyperlink ref="B5" location="'LR_Output1'!$B$90:$B$90" display="Valid. Score Summary"/>
    <hyperlink ref="D5" location="'LR_TrainingLiftChart1'!$B$10:$B$10" display="Training Lift Chart"/>
    <hyperlink ref="F5" location="'LR_ValidationLiftChart1'!$B$10:$B$10" display="Validation Lift Char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303"/>
  <sheetViews>
    <sheetView showGridLines="0" workbookViewId="0"/>
  </sheetViews>
  <sheetFormatPr defaultRowHeight="15.75" x14ac:dyDescent="0.25"/>
  <cols>
    <col min="14" max="14" width="11.5" bestFit="1" customWidth="1"/>
    <col min="52" max="52" width="7.125" customWidth="1"/>
    <col min="53" max="53" width="14" bestFit="1" customWidth="1"/>
    <col min="54" max="54" width="11.5" bestFit="1" customWidth="1"/>
    <col min="55" max="55" width="40.5" bestFit="1" customWidth="1"/>
    <col min="56" max="56" width="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ht="18.75" x14ac:dyDescent="0.3">
      <c r="B1" s="5" t="s">
        <v>71</v>
      </c>
      <c r="N1" t="s">
        <v>167</v>
      </c>
      <c r="BZ1" s="10" t="s">
        <v>54</v>
      </c>
      <c r="CA1" s="10" t="s">
        <v>55</v>
      </c>
      <c r="CB1" s="10" t="s">
        <v>56</v>
      </c>
    </row>
    <row r="2" spans="2:80" x14ac:dyDescent="0.25">
      <c r="BZ2">
        <v>0</v>
      </c>
      <c r="CA2">
        <v>0</v>
      </c>
      <c r="CB2">
        <v>0</v>
      </c>
    </row>
    <row r="3" spans="2:8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10" t="s">
        <v>47</v>
      </c>
      <c r="BA3" s="10" t="s">
        <v>48</v>
      </c>
      <c r="BB3" s="10" t="s">
        <v>49</v>
      </c>
      <c r="BC3" s="10" t="s">
        <v>50</v>
      </c>
      <c r="BD3" s="10" t="s">
        <v>51</v>
      </c>
      <c r="BE3" s="10" t="s">
        <v>52</v>
      </c>
      <c r="BF3" s="10" t="s">
        <v>53</v>
      </c>
      <c r="BZ3">
        <v>8.2987551867219917E-3</v>
      </c>
      <c r="CA3">
        <v>0</v>
      </c>
      <c r="CB3">
        <v>8.2987551867219917E-3</v>
      </c>
    </row>
    <row r="4" spans="2:8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67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24">
        <v>1</v>
      </c>
      <c r="BA4" s="24">
        <v>0.28952489717186036</v>
      </c>
      <c r="BB4" s="24">
        <v>0</v>
      </c>
      <c r="BC4" s="24">
        <v>0</v>
      </c>
      <c r="BD4" s="24">
        <v>0.19666666666666666</v>
      </c>
      <c r="BE4">
        <v>1</v>
      </c>
      <c r="BF4">
        <v>0.33898305084745767</v>
      </c>
      <c r="BZ4">
        <v>1.2448132780082987E-2</v>
      </c>
      <c r="CA4">
        <v>0</v>
      </c>
      <c r="CB4">
        <v>1.2448132780082987E-2</v>
      </c>
    </row>
    <row r="5" spans="2:80" x14ac:dyDescent="0.25">
      <c r="B5" s="23" t="s">
        <v>68</v>
      </c>
      <c r="C5" s="19"/>
      <c r="D5" s="23" t="s">
        <v>69</v>
      </c>
      <c r="E5" s="19"/>
      <c r="F5" s="23" t="s">
        <v>70</v>
      </c>
      <c r="G5" s="19"/>
      <c r="H5" s="17"/>
      <c r="I5" s="19"/>
      <c r="J5" s="17"/>
      <c r="K5" s="19"/>
      <c r="N5" s="7">
        <v>0</v>
      </c>
      <c r="O5" s="7">
        <v>0</v>
      </c>
      <c r="P5" s="7">
        <v>0</v>
      </c>
      <c r="Q5" s="7">
        <v>0</v>
      </c>
      <c r="AZ5" s="24">
        <v>2</v>
      </c>
      <c r="BA5" s="24">
        <v>0.28952489717186036</v>
      </c>
      <c r="BB5" s="24">
        <v>0</v>
      </c>
      <c r="BC5" s="24">
        <v>0</v>
      </c>
      <c r="BD5" s="24">
        <v>0.39333333333333331</v>
      </c>
      <c r="BE5">
        <v>2</v>
      </c>
      <c r="BF5">
        <v>0.33898305084745767</v>
      </c>
      <c r="BZ5">
        <v>2.4896265560165973E-2</v>
      </c>
      <c r="CA5">
        <v>0</v>
      </c>
      <c r="CB5">
        <v>2.4896265560165973E-2</v>
      </c>
    </row>
    <row r="6" spans="2:80" x14ac:dyDescent="0.25">
      <c r="AZ6" s="24">
        <v>3</v>
      </c>
      <c r="BA6" s="24">
        <v>0.28822407866055438</v>
      </c>
      <c r="BB6" s="24">
        <v>0</v>
      </c>
      <c r="BC6" s="24">
        <v>0</v>
      </c>
      <c r="BD6" s="24">
        <v>0.59</v>
      </c>
      <c r="BE6">
        <v>3</v>
      </c>
      <c r="BF6">
        <v>1.5254237288135595</v>
      </c>
      <c r="BZ6">
        <v>3.3195020746887967E-2</v>
      </c>
      <c r="CA6">
        <v>1.6949152542372881E-2</v>
      </c>
      <c r="CB6">
        <v>3.3195020746887967E-2</v>
      </c>
    </row>
    <row r="7" spans="2:80" x14ac:dyDescent="0.25">
      <c r="AZ7" s="24">
        <v>4</v>
      </c>
      <c r="BA7" s="24">
        <v>0.2779439374646816</v>
      </c>
      <c r="BB7" s="24">
        <v>0</v>
      </c>
      <c r="BC7" s="24">
        <v>0</v>
      </c>
      <c r="BD7" s="24">
        <v>0.78666666666666663</v>
      </c>
      <c r="BE7">
        <v>4</v>
      </c>
      <c r="BF7">
        <v>1.8644067796610171</v>
      </c>
      <c r="BZ7">
        <v>3.7344398340248962E-2</v>
      </c>
      <c r="CA7">
        <v>1.6949152542372881E-2</v>
      </c>
      <c r="CB7">
        <v>3.7344398340248962E-2</v>
      </c>
    </row>
    <row r="8" spans="2:80" x14ac:dyDescent="0.25">
      <c r="AZ8" s="24">
        <v>5</v>
      </c>
      <c r="BA8" s="24">
        <v>0.2779439374646816</v>
      </c>
      <c r="BB8" s="24">
        <v>0</v>
      </c>
      <c r="BC8" s="24">
        <v>0</v>
      </c>
      <c r="BD8" s="24">
        <v>0.98333333333333328</v>
      </c>
      <c r="BE8">
        <v>5</v>
      </c>
      <c r="BF8">
        <v>1.6949152542372883</v>
      </c>
      <c r="BZ8">
        <v>4.5643153526970952E-2</v>
      </c>
      <c r="CA8">
        <v>1.6949152542372881E-2</v>
      </c>
      <c r="CB8">
        <v>4.5643153526970952E-2</v>
      </c>
    </row>
    <row r="9" spans="2:80" x14ac:dyDescent="0.25">
      <c r="AZ9" s="24">
        <v>6</v>
      </c>
      <c r="BA9" s="24">
        <v>0.2779439374646816</v>
      </c>
      <c r="BB9" s="24">
        <v>0</v>
      </c>
      <c r="BC9" s="24">
        <v>0</v>
      </c>
      <c r="BD9" s="24">
        <v>1.18</v>
      </c>
      <c r="BE9">
        <v>6</v>
      </c>
      <c r="BF9">
        <v>1.8644067796610171</v>
      </c>
      <c r="BZ9">
        <v>5.8091286307053944E-2</v>
      </c>
      <c r="CA9">
        <v>1.6949152542372881E-2</v>
      </c>
      <c r="CB9">
        <v>5.8091286307053944E-2</v>
      </c>
    </row>
    <row r="10" spans="2:80" x14ac:dyDescent="0.25">
      <c r="AZ10" s="24">
        <v>7</v>
      </c>
      <c r="BA10" s="24">
        <v>0.27667488888216679</v>
      </c>
      <c r="BB10" s="24">
        <v>0</v>
      </c>
      <c r="BC10" s="24">
        <v>0</v>
      </c>
      <c r="BD10" s="24">
        <v>1.3766666666666665</v>
      </c>
      <c r="BE10">
        <v>7</v>
      </c>
      <c r="BF10">
        <v>1.8644067796610171</v>
      </c>
      <c r="BZ10">
        <v>7.0539419087136929E-2</v>
      </c>
      <c r="CA10">
        <v>1.6949152542372881E-2</v>
      </c>
      <c r="CB10">
        <v>7.0539419087136929E-2</v>
      </c>
    </row>
    <row r="11" spans="2:80" x14ac:dyDescent="0.25">
      <c r="AZ11" s="24">
        <v>8</v>
      </c>
      <c r="BA11" s="24">
        <v>0.27667488888216679</v>
      </c>
      <c r="BB11" s="24">
        <v>1</v>
      </c>
      <c r="BC11" s="24">
        <v>1</v>
      </c>
      <c r="BD11" s="24">
        <v>1.5733333333333333</v>
      </c>
      <c r="BE11">
        <v>8</v>
      </c>
      <c r="BF11">
        <v>0.33898305084745767</v>
      </c>
      <c r="BZ11">
        <v>7.4688796680497924E-2</v>
      </c>
      <c r="CA11">
        <v>1.6949152542372881E-2</v>
      </c>
      <c r="CB11">
        <v>7.4688796680497924E-2</v>
      </c>
    </row>
    <row r="12" spans="2:80" x14ac:dyDescent="0.25">
      <c r="AZ12" s="24">
        <v>9</v>
      </c>
      <c r="BA12" s="24">
        <v>0.27667488888216679</v>
      </c>
      <c r="BB12" s="24">
        <v>0</v>
      </c>
      <c r="BC12" s="24">
        <v>1</v>
      </c>
      <c r="BD12" s="24">
        <v>1.77</v>
      </c>
      <c r="BE12">
        <v>9</v>
      </c>
      <c r="BF12">
        <v>0.16949152542372883</v>
      </c>
      <c r="BZ12">
        <v>8.7136929460580909E-2</v>
      </c>
      <c r="CA12">
        <v>1.6949152542372881E-2</v>
      </c>
      <c r="CB12">
        <v>8.7136929460580909E-2</v>
      </c>
    </row>
    <row r="13" spans="2:80" x14ac:dyDescent="0.25">
      <c r="AZ13" s="24">
        <v>10</v>
      </c>
      <c r="BA13" s="24">
        <v>0.27414755442294014</v>
      </c>
      <c r="BB13" s="24">
        <v>0</v>
      </c>
      <c r="BC13" s="24">
        <v>1</v>
      </c>
      <c r="BD13" s="24">
        <v>1.9666666666666666</v>
      </c>
      <c r="BE13">
        <v>10</v>
      </c>
      <c r="BF13">
        <v>0</v>
      </c>
      <c r="BZ13">
        <v>9.1286307053941904E-2</v>
      </c>
      <c r="CA13">
        <v>1.6949152542372881E-2</v>
      </c>
      <c r="CB13">
        <v>9.1286307053941904E-2</v>
      </c>
    </row>
    <row r="14" spans="2:80" x14ac:dyDescent="0.25">
      <c r="AZ14" s="24">
        <v>11</v>
      </c>
      <c r="BA14" s="24">
        <v>0.27288928854661604</v>
      </c>
      <c r="BB14" s="24">
        <v>0</v>
      </c>
      <c r="BC14" s="24">
        <v>1</v>
      </c>
      <c r="BD14" s="24">
        <v>2.1633333333333331</v>
      </c>
      <c r="BZ14">
        <v>9.1286307053941904E-2</v>
      </c>
      <c r="CA14">
        <v>3.3898305084745763E-2</v>
      </c>
      <c r="CB14">
        <v>9.1286307053941904E-2</v>
      </c>
    </row>
    <row r="15" spans="2:80" x14ac:dyDescent="0.25">
      <c r="AZ15" s="24">
        <v>12</v>
      </c>
      <c r="BA15" s="24">
        <v>0.27288928854661604</v>
      </c>
      <c r="BB15" s="24">
        <v>0</v>
      </c>
      <c r="BC15" s="24">
        <v>1</v>
      </c>
      <c r="BD15" s="24">
        <v>2.36</v>
      </c>
      <c r="BZ15">
        <v>0.1037344398340249</v>
      </c>
      <c r="CA15">
        <v>3.3898305084745763E-2</v>
      </c>
      <c r="CB15">
        <v>0.1037344398340249</v>
      </c>
    </row>
    <row r="16" spans="2:80" x14ac:dyDescent="0.25">
      <c r="AZ16" s="24">
        <v>13</v>
      </c>
      <c r="BA16" s="24">
        <v>0.27038360799655531</v>
      </c>
      <c r="BB16" s="24">
        <v>0</v>
      </c>
      <c r="BC16" s="24">
        <v>1</v>
      </c>
      <c r="BD16" s="24">
        <v>2.5566666666666666</v>
      </c>
      <c r="BZ16">
        <v>0.1078838174273859</v>
      </c>
      <c r="CA16">
        <v>3.3898305084745763E-2</v>
      </c>
      <c r="CB16">
        <v>0.1078838174273859</v>
      </c>
    </row>
    <row r="17" spans="52:80" x14ac:dyDescent="0.25">
      <c r="AZ17" s="24">
        <v>14</v>
      </c>
      <c r="BA17" s="24">
        <v>0.27038360799655531</v>
      </c>
      <c r="BB17" s="24">
        <v>0</v>
      </c>
      <c r="BC17" s="24">
        <v>1</v>
      </c>
      <c r="BD17" s="24">
        <v>2.753333333333333</v>
      </c>
      <c r="BZ17">
        <v>0.11618257261410789</v>
      </c>
      <c r="CA17">
        <v>3.3898305084745763E-2</v>
      </c>
      <c r="CB17">
        <v>0.11618257261410789</v>
      </c>
    </row>
    <row r="18" spans="52:80" x14ac:dyDescent="0.25">
      <c r="AZ18" s="24">
        <v>15</v>
      </c>
      <c r="BA18" s="24">
        <v>0.27038360799655531</v>
      </c>
      <c r="BB18" s="24">
        <v>0</v>
      </c>
      <c r="BC18" s="24">
        <v>1</v>
      </c>
      <c r="BD18" s="24">
        <v>2.9499999999999997</v>
      </c>
      <c r="BZ18">
        <v>0.12033195020746888</v>
      </c>
      <c r="CA18">
        <v>3.3898305084745763E-2</v>
      </c>
      <c r="CB18">
        <v>0.12033195020746888</v>
      </c>
    </row>
    <row r="19" spans="52:80" x14ac:dyDescent="0.25">
      <c r="AZ19" s="24">
        <v>16</v>
      </c>
      <c r="BA19" s="24">
        <v>0.2691362121211332</v>
      </c>
      <c r="BB19" s="24">
        <v>0</v>
      </c>
      <c r="BC19" s="24">
        <v>1</v>
      </c>
      <c r="BD19" s="24">
        <v>3.1466666666666665</v>
      </c>
      <c r="BZ19">
        <v>0.12448132780082988</v>
      </c>
      <c r="CA19">
        <v>3.3898305084745763E-2</v>
      </c>
      <c r="CB19">
        <v>0.12448132780082988</v>
      </c>
    </row>
    <row r="20" spans="52:80" x14ac:dyDescent="0.25">
      <c r="AZ20" s="24">
        <v>17</v>
      </c>
      <c r="BA20" s="24">
        <v>0.2691362121211332</v>
      </c>
      <c r="BB20" s="24">
        <v>0</v>
      </c>
      <c r="BC20" s="24">
        <v>1</v>
      </c>
      <c r="BD20" s="24">
        <v>3.3433333333333333</v>
      </c>
      <c r="BZ20">
        <v>0.13278008298755187</v>
      </c>
      <c r="CA20">
        <v>3.3898305084745763E-2</v>
      </c>
      <c r="CB20">
        <v>0.13278008298755187</v>
      </c>
    </row>
    <row r="21" spans="52:80" x14ac:dyDescent="0.25">
      <c r="AZ21" s="24">
        <v>18</v>
      </c>
      <c r="BA21" s="24">
        <v>0.2691362121211332</v>
      </c>
      <c r="BB21" s="24">
        <v>0</v>
      </c>
      <c r="BC21" s="24">
        <v>1</v>
      </c>
      <c r="BD21" s="24">
        <v>3.54</v>
      </c>
      <c r="BZ21">
        <v>0.14107883817427386</v>
      </c>
      <c r="CA21">
        <v>3.3898305084745763E-2</v>
      </c>
      <c r="CB21">
        <v>0.14107883817427386</v>
      </c>
    </row>
    <row r="22" spans="52:80" x14ac:dyDescent="0.25">
      <c r="AZ22" s="24">
        <v>19</v>
      </c>
      <c r="BA22" s="24">
        <v>0.26789245804538869</v>
      </c>
      <c r="BB22" s="24">
        <v>0</v>
      </c>
      <c r="BC22" s="24">
        <v>1</v>
      </c>
      <c r="BD22" s="24">
        <v>3.7366666666666664</v>
      </c>
      <c r="BZ22">
        <v>0.14522821576763487</v>
      </c>
      <c r="CA22">
        <v>3.3898305084745763E-2</v>
      </c>
      <c r="CB22">
        <v>0.14522821576763487</v>
      </c>
    </row>
    <row r="23" spans="52:80" x14ac:dyDescent="0.25">
      <c r="AZ23" s="24">
        <v>20</v>
      </c>
      <c r="BA23" s="24">
        <v>0.26665235467082504</v>
      </c>
      <c r="BB23" s="24">
        <v>0</v>
      </c>
      <c r="BC23" s="24">
        <v>1</v>
      </c>
      <c r="BD23" s="24">
        <v>3.9333333333333331</v>
      </c>
      <c r="BZ23">
        <v>0.15352697095435686</v>
      </c>
      <c r="CA23">
        <v>5.0847457627118647E-2</v>
      </c>
      <c r="CB23">
        <v>0.15352697095435686</v>
      </c>
    </row>
    <row r="24" spans="52:80" x14ac:dyDescent="0.25">
      <c r="AZ24" s="24">
        <v>21</v>
      </c>
      <c r="BA24" s="24">
        <v>0.26665235467082504</v>
      </c>
      <c r="BB24" s="24">
        <v>0</v>
      </c>
      <c r="BC24" s="24">
        <v>1</v>
      </c>
      <c r="BD24" s="24">
        <v>4.13</v>
      </c>
      <c r="BZ24">
        <v>0.15767634854771784</v>
      </c>
      <c r="CA24">
        <v>5.0847457627118647E-2</v>
      </c>
      <c r="CB24">
        <v>0.15767634854771784</v>
      </c>
    </row>
    <row r="25" spans="52:80" x14ac:dyDescent="0.25">
      <c r="AZ25" s="24">
        <v>22</v>
      </c>
      <c r="BA25" s="24">
        <v>0.26665235467082504</v>
      </c>
      <c r="BB25" s="24">
        <v>0</v>
      </c>
      <c r="BC25" s="24">
        <v>1</v>
      </c>
      <c r="BD25" s="24">
        <v>4.3266666666666662</v>
      </c>
      <c r="BZ25">
        <v>0.16182572614107885</v>
      </c>
      <c r="CA25">
        <v>5.0847457627118647E-2</v>
      </c>
      <c r="CB25">
        <v>0.16182572614107885</v>
      </c>
    </row>
    <row r="26" spans="52:80" x14ac:dyDescent="0.25">
      <c r="AZ26" s="24">
        <v>23</v>
      </c>
      <c r="BA26" s="24">
        <v>0.26418313464112936</v>
      </c>
      <c r="BB26" s="24">
        <v>0</v>
      </c>
      <c r="BC26" s="24">
        <v>1</v>
      </c>
      <c r="BD26" s="24">
        <v>4.5233333333333334</v>
      </c>
      <c r="BZ26">
        <v>0.17012448132780084</v>
      </c>
      <c r="CA26">
        <v>5.0847457627118647E-2</v>
      </c>
      <c r="CB26">
        <v>0.17012448132780084</v>
      </c>
    </row>
    <row r="27" spans="52:80" x14ac:dyDescent="0.25">
      <c r="AZ27" s="24">
        <v>24</v>
      </c>
      <c r="BA27" s="24">
        <v>0.26295403480053009</v>
      </c>
      <c r="BB27" s="24">
        <v>1</v>
      </c>
      <c r="BC27" s="24">
        <v>2</v>
      </c>
      <c r="BD27" s="24">
        <v>4.72</v>
      </c>
      <c r="BZ27">
        <v>0.17842323651452283</v>
      </c>
      <c r="CA27">
        <v>5.0847457627118647E-2</v>
      </c>
      <c r="CB27">
        <v>0.17842323651452283</v>
      </c>
    </row>
    <row r="28" spans="52:80" x14ac:dyDescent="0.25">
      <c r="AZ28" s="24">
        <v>25</v>
      </c>
      <c r="BA28" s="24">
        <v>0.26050689602994787</v>
      </c>
      <c r="BB28" s="24">
        <v>0</v>
      </c>
      <c r="BC28" s="24">
        <v>2</v>
      </c>
      <c r="BD28" s="24">
        <v>4.9166666666666661</v>
      </c>
      <c r="BZ28">
        <v>0.19502074688796681</v>
      </c>
      <c r="CA28">
        <v>5.0847457627118647E-2</v>
      </c>
      <c r="CB28">
        <v>0.19502074688796681</v>
      </c>
    </row>
    <row r="29" spans="52:80" x14ac:dyDescent="0.25">
      <c r="AZ29" s="24">
        <v>26</v>
      </c>
      <c r="BA29" s="24">
        <v>0.26050689602994787</v>
      </c>
      <c r="BB29" s="24">
        <v>0</v>
      </c>
      <c r="BC29" s="24">
        <v>2</v>
      </c>
      <c r="BD29" s="24">
        <v>5.1133333333333333</v>
      </c>
      <c r="BZ29">
        <v>0.19917012448132779</v>
      </c>
      <c r="CA29">
        <v>6.7796610169491525E-2</v>
      </c>
      <c r="CB29">
        <v>0.19917012448132779</v>
      </c>
    </row>
    <row r="30" spans="52:80" x14ac:dyDescent="0.25">
      <c r="AZ30" s="24">
        <v>27</v>
      </c>
      <c r="BA30" s="24">
        <v>0.26050689602994787</v>
      </c>
      <c r="BB30" s="24">
        <v>0</v>
      </c>
      <c r="BC30" s="24">
        <v>2</v>
      </c>
      <c r="BD30" s="24">
        <v>5.31</v>
      </c>
      <c r="BZ30">
        <v>0.2033195020746888</v>
      </c>
      <c r="CA30">
        <v>6.7796610169491525E-2</v>
      </c>
      <c r="CB30">
        <v>0.2033195020746888</v>
      </c>
    </row>
    <row r="31" spans="52:80" x14ac:dyDescent="0.25">
      <c r="AZ31" s="24">
        <v>28</v>
      </c>
      <c r="BA31" s="24">
        <v>0.25928887273763362</v>
      </c>
      <c r="BB31" s="24">
        <v>0</v>
      </c>
      <c r="BC31" s="24">
        <v>2</v>
      </c>
      <c r="BD31" s="24">
        <v>5.5066666666666659</v>
      </c>
      <c r="BZ31">
        <v>0.21991701244813278</v>
      </c>
      <c r="CA31">
        <v>6.7796610169491525E-2</v>
      </c>
      <c r="CB31">
        <v>0.21991701244813278</v>
      </c>
    </row>
    <row r="32" spans="52:80" x14ac:dyDescent="0.25">
      <c r="AZ32" s="24">
        <v>29</v>
      </c>
      <c r="BA32" s="24">
        <v>0.25807455694098486</v>
      </c>
      <c r="BB32" s="24">
        <v>0</v>
      </c>
      <c r="BC32" s="24">
        <v>2</v>
      </c>
      <c r="BD32" s="24">
        <v>5.7033333333333331</v>
      </c>
      <c r="BZ32">
        <v>0.23236514522821577</v>
      </c>
      <c r="CA32">
        <v>6.7796610169491525E-2</v>
      </c>
      <c r="CB32">
        <v>0.23236514522821577</v>
      </c>
    </row>
    <row r="33" spans="9:80" x14ac:dyDescent="0.25">
      <c r="AZ33" s="24">
        <v>30</v>
      </c>
      <c r="BA33" s="24">
        <v>0.25807455694098486</v>
      </c>
      <c r="BB33" s="24">
        <v>0</v>
      </c>
      <c r="BC33" s="24">
        <v>2</v>
      </c>
      <c r="BD33" s="24">
        <v>5.8999999999999995</v>
      </c>
      <c r="BZ33">
        <v>0.24066390041493776</v>
      </c>
      <c r="CA33">
        <v>6.7796610169491525E-2</v>
      </c>
      <c r="CB33">
        <v>0.24066390041493776</v>
      </c>
    </row>
    <row r="34" spans="9:80" x14ac:dyDescent="0.25">
      <c r="AZ34" s="25">
        <v>31</v>
      </c>
      <c r="BA34" s="25">
        <v>0.25686395597265166</v>
      </c>
      <c r="BB34" s="25">
        <v>0</v>
      </c>
      <c r="BC34" s="25">
        <v>2</v>
      </c>
      <c r="BD34" s="25">
        <v>6.0966666666666667</v>
      </c>
      <c r="BZ34">
        <v>0.24481327800829875</v>
      </c>
      <c r="CA34">
        <v>8.4745762711864403E-2</v>
      </c>
      <c r="CB34">
        <v>0.24481327800829875</v>
      </c>
    </row>
    <row r="35" spans="9:80" x14ac:dyDescent="0.25">
      <c r="AZ35" s="25">
        <v>32</v>
      </c>
      <c r="BA35" s="25">
        <v>0.25565707697198908</v>
      </c>
      <c r="BB35" s="25">
        <v>0</v>
      </c>
      <c r="BC35" s="25">
        <v>2</v>
      </c>
      <c r="BD35" s="25">
        <v>6.293333333333333</v>
      </c>
      <c r="BZ35">
        <v>0.24896265560165975</v>
      </c>
      <c r="CA35">
        <v>0.10169491525423729</v>
      </c>
      <c r="CB35">
        <v>0.24896265560165975</v>
      </c>
    </row>
    <row r="36" spans="9:80" x14ac:dyDescent="0.25">
      <c r="AZ36" s="25">
        <v>33</v>
      </c>
      <c r="BA36" s="25">
        <v>0.25445392688573715</v>
      </c>
      <c r="BB36" s="25">
        <v>0</v>
      </c>
      <c r="BC36" s="25">
        <v>2</v>
      </c>
      <c r="BD36" s="25">
        <v>6.4899999999999993</v>
      </c>
      <c r="BZ36">
        <v>0.25311203319502074</v>
      </c>
      <c r="CA36">
        <v>0.10169491525423729</v>
      </c>
      <c r="CB36">
        <v>0.25311203319502074</v>
      </c>
    </row>
    <row r="37" spans="9:80" x14ac:dyDescent="0.25">
      <c r="AZ37" s="25">
        <v>34</v>
      </c>
      <c r="BA37" s="25">
        <v>0.25445392688573715</v>
      </c>
      <c r="BB37" s="25">
        <v>0</v>
      </c>
      <c r="BC37" s="25">
        <v>2</v>
      </c>
      <c r="BD37" s="25">
        <v>6.6866666666666665</v>
      </c>
      <c r="BZ37">
        <v>0.26141078838174275</v>
      </c>
      <c r="CA37">
        <v>0.10169491525423729</v>
      </c>
      <c r="CB37">
        <v>0.26141078838174275</v>
      </c>
    </row>
    <row r="38" spans="9:80" x14ac:dyDescent="0.25">
      <c r="I38" s="10" t="s">
        <v>57</v>
      </c>
      <c r="J38" s="10" t="s">
        <v>58</v>
      </c>
      <c r="K38" s="10" t="s">
        <v>59</v>
      </c>
      <c r="L38" s="10" t="s">
        <v>60</v>
      </c>
      <c r="M38" s="10" t="s">
        <v>61</v>
      </c>
      <c r="AZ38" s="25">
        <v>35</v>
      </c>
      <c r="BA38" s="25">
        <v>0.25205884028454301</v>
      </c>
      <c r="BB38" s="25">
        <v>0</v>
      </c>
      <c r="BC38" s="25">
        <v>2</v>
      </c>
      <c r="BD38" s="25">
        <v>6.8833333333333329</v>
      </c>
      <c r="BZ38">
        <v>0.26141078838174275</v>
      </c>
      <c r="CA38">
        <v>0.11864406779661017</v>
      </c>
      <c r="CB38">
        <v>0.26141078838174275</v>
      </c>
    </row>
    <row r="39" spans="9:80" x14ac:dyDescent="0.25">
      <c r="I39" s="9">
        <v>1</v>
      </c>
      <c r="J39" s="7">
        <v>6.6666666666666666E-2</v>
      </c>
      <c r="K39" s="7">
        <v>0.25370813170246248</v>
      </c>
      <c r="L39" s="7">
        <v>0</v>
      </c>
      <c r="M39" s="7">
        <v>1</v>
      </c>
      <c r="AZ39" s="25">
        <v>36</v>
      </c>
      <c r="BA39" s="25">
        <v>0.25205884028454301</v>
      </c>
      <c r="BB39" s="25">
        <v>0</v>
      </c>
      <c r="BC39" s="25">
        <v>2</v>
      </c>
      <c r="BD39" s="25">
        <v>7.08</v>
      </c>
      <c r="BZ39">
        <v>0.26556016597510373</v>
      </c>
      <c r="CA39">
        <v>0.13559322033898305</v>
      </c>
      <c r="CB39">
        <v>0.26556016597510373</v>
      </c>
    </row>
    <row r="40" spans="9:80" x14ac:dyDescent="0.25">
      <c r="I40" s="9">
        <v>2</v>
      </c>
      <c r="J40" s="7">
        <v>6.6666666666666666E-2</v>
      </c>
      <c r="K40" s="7">
        <v>0.25370813170246248</v>
      </c>
      <c r="L40" s="7">
        <v>0</v>
      </c>
      <c r="M40" s="7">
        <v>1</v>
      </c>
      <c r="AZ40" s="25">
        <v>37</v>
      </c>
      <c r="BA40" s="25">
        <v>0.25086691670634931</v>
      </c>
      <c r="BB40" s="25">
        <v>0</v>
      </c>
      <c r="BC40" s="25">
        <v>2</v>
      </c>
      <c r="BD40" s="25">
        <v>7.2766666666666664</v>
      </c>
      <c r="BZ40">
        <v>0.26970954356846472</v>
      </c>
      <c r="CA40">
        <v>0.13559322033898305</v>
      </c>
      <c r="CB40">
        <v>0.26970954356846472</v>
      </c>
    </row>
    <row r="41" spans="9:80" x14ac:dyDescent="0.25">
      <c r="I41" s="9">
        <v>3</v>
      </c>
      <c r="J41" s="7">
        <v>0.3</v>
      </c>
      <c r="K41" s="7">
        <v>0.46609159969939895</v>
      </c>
      <c r="L41" s="7">
        <v>0</v>
      </c>
      <c r="M41" s="7">
        <v>1</v>
      </c>
      <c r="AZ41" s="25">
        <v>38</v>
      </c>
      <c r="BA41" s="25">
        <v>0.24967874791753278</v>
      </c>
      <c r="BB41" s="25">
        <v>0</v>
      </c>
      <c r="BC41" s="25">
        <v>2</v>
      </c>
      <c r="BD41" s="25">
        <v>7.4733333333333327</v>
      </c>
      <c r="BZ41">
        <v>0.28215767634854771</v>
      </c>
      <c r="CA41">
        <v>0.13559322033898305</v>
      </c>
      <c r="CB41">
        <v>0.28215767634854771</v>
      </c>
    </row>
    <row r="42" spans="9:80" x14ac:dyDescent="0.25">
      <c r="I42" s="9">
        <v>4</v>
      </c>
      <c r="J42" s="7">
        <v>0.36666666666666664</v>
      </c>
      <c r="K42" s="7">
        <v>0.49013251785356088</v>
      </c>
      <c r="L42" s="7">
        <v>0</v>
      </c>
      <c r="M42" s="7">
        <v>1</v>
      </c>
      <c r="AZ42" s="25">
        <v>39</v>
      </c>
      <c r="BA42" s="25">
        <v>0.24967874791753278</v>
      </c>
      <c r="BB42" s="25">
        <v>1</v>
      </c>
      <c r="BC42" s="25">
        <v>3</v>
      </c>
      <c r="BD42" s="25">
        <v>7.67</v>
      </c>
      <c r="BZ42">
        <v>0.28215767634854771</v>
      </c>
      <c r="CA42">
        <v>0.15254237288135594</v>
      </c>
      <c r="CB42">
        <v>0.28215767634854771</v>
      </c>
    </row>
    <row r="43" spans="9:80" x14ac:dyDescent="0.25">
      <c r="I43" s="9">
        <v>5</v>
      </c>
      <c r="J43" s="7">
        <v>0.33333333333333331</v>
      </c>
      <c r="K43" s="7">
        <v>0.47946330148538407</v>
      </c>
      <c r="L43" s="7">
        <v>0</v>
      </c>
      <c r="M43" s="7">
        <v>1</v>
      </c>
      <c r="AZ43" s="25">
        <v>40</v>
      </c>
      <c r="BA43" s="25">
        <v>0.24967874791753278</v>
      </c>
      <c r="BB43" s="25">
        <v>0</v>
      </c>
      <c r="BC43" s="25">
        <v>3</v>
      </c>
      <c r="BD43" s="25">
        <v>7.8666666666666663</v>
      </c>
      <c r="BZ43">
        <v>0.29045643153526973</v>
      </c>
      <c r="CA43">
        <v>0.15254237288135594</v>
      </c>
      <c r="CB43">
        <v>0.29045643153526973</v>
      </c>
    </row>
    <row r="44" spans="9:80" x14ac:dyDescent="0.25">
      <c r="I44" s="9">
        <v>6</v>
      </c>
      <c r="J44" s="7">
        <v>0.36666666666666664</v>
      </c>
      <c r="K44" s="7">
        <v>0.49013251785356082</v>
      </c>
      <c r="L44" s="7">
        <v>0</v>
      </c>
      <c r="M44" s="7">
        <v>1</v>
      </c>
      <c r="AZ44" s="25">
        <v>41</v>
      </c>
      <c r="BA44" s="25">
        <v>0.2484943399125106</v>
      </c>
      <c r="BB44" s="25">
        <v>0</v>
      </c>
      <c r="BC44" s="25">
        <v>3</v>
      </c>
      <c r="BD44" s="25">
        <v>8.0633333333333326</v>
      </c>
      <c r="BZ44">
        <v>0.30290456431535268</v>
      </c>
      <c r="CA44">
        <v>0.15254237288135594</v>
      </c>
      <c r="CB44">
        <v>0.30290456431535268</v>
      </c>
    </row>
    <row r="45" spans="9:80" x14ac:dyDescent="0.25">
      <c r="I45" s="9">
        <v>7</v>
      </c>
      <c r="J45" s="7">
        <v>0.36666666666666664</v>
      </c>
      <c r="K45" s="7">
        <v>0.49013251785356082</v>
      </c>
      <c r="L45" s="7">
        <v>0</v>
      </c>
      <c r="M45" s="7">
        <v>1</v>
      </c>
      <c r="AZ45" s="25">
        <v>42</v>
      </c>
      <c r="BA45" s="25">
        <v>0.2449637377259965</v>
      </c>
      <c r="BB45" s="25">
        <v>0</v>
      </c>
      <c r="BC45" s="25">
        <v>3</v>
      </c>
      <c r="BD45" s="25">
        <v>8.26</v>
      </c>
      <c r="BZ45">
        <v>0.30705394190871371</v>
      </c>
      <c r="CA45">
        <v>0.16949152542372881</v>
      </c>
      <c r="CB45">
        <v>0.30705394190871371</v>
      </c>
    </row>
    <row r="46" spans="9:80" x14ac:dyDescent="0.25">
      <c r="I46" s="9">
        <v>8</v>
      </c>
      <c r="J46" s="7">
        <v>6.6666666666666666E-2</v>
      </c>
      <c r="K46" s="7">
        <v>0.25370813170246248</v>
      </c>
      <c r="L46" s="7">
        <v>0</v>
      </c>
      <c r="M46" s="7">
        <v>1</v>
      </c>
      <c r="AZ46" s="25">
        <v>43</v>
      </c>
      <c r="BA46" s="25">
        <v>0.24379442904804977</v>
      </c>
      <c r="BB46" s="25">
        <v>0</v>
      </c>
      <c r="BC46" s="25">
        <v>3</v>
      </c>
      <c r="BD46" s="25">
        <v>8.456666666666667</v>
      </c>
      <c r="BZ46">
        <v>0.31120331950207469</v>
      </c>
      <c r="CA46">
        <v>0.20338983050847459</v>
      </c>
      <c r="CB46">
        <v>0.31120331950207469</v>
      </c>
    </row>
    <row r="47" spans="9:80" x14ac:dyDescent="0.25">
      <c r="I47" s="9">
        <v>9</v>
      </c>
      <c r="J47" s="7">
        <v>3.3333333333333333E-2</v>
      </c>
      <c r="K47" s="7">
        <v>0.18257418583505525</v>
      </c>
      <c r="L47" s="7">
        <v>0</v>
      </c>
      <c r="M47" s="7">
        <v>1</v>
      </c>
      <c r="AZ47" s="25">
        <v>44</v>
      </c>
      <c r="BA47" s="25">
        <v>0.24379442904804977</v>
      </c>
      <c r="BB47" s="25">
        <v>0</v>
      </c>
      <c r="BC47" s="25">
        <v>3</v>
      </c>
      <c r="BD47" s="25">
        <v>8.6533333333333324</v>
      </c>
      <c r="BZ47">
        <v>0.33195020746887965</v>
      </c>
      <c r="CA47">
        <v>0.23728813559322035</v>
      </c>
      <c r="CB47">
        <v>0.33195020746887965</v>
      </c>
    </row>
    <row r="48" spans="9:80" x14ac:dyDescent="0.25">
      <c r="I48" s="9">
        <v>10</v>
      </c>
      <c r="J48" s="7">
        <v>0</v>
      </c>
      <c r="K48" s="7">
        <v>0</v>
      </c>
      <c r="L48" s="7">
        <v>0</v>
      </c>
      <c r="M48" s="7">
        <v>0</v>
      </c>
      <c r="AZ48" s="25">
        <v>45</v>
      </c>
      <c r="BA48" s="25">
        <v>0.24146718041552676</v>
      </c>
      <c r="BB48" s="25">
        <v>0</v>
      </c>
      <c r="BC48" s="25">
        <v>3</v>
      </c>
      <c r="BD48" s="25">
        <v>8.85</v>
      </c>
      <c r="BZ48">
        <v>0.35269709543568467</v>
      </c>
      <c r="CA48">
        <v>0.23728813559322035</v>
      </c>
      <c r="CB48">
        <v>0.35269709543568467</v>
      </c>
    </row>
    <row r="49" spans="52:80" x14ac:dyDescent="0.25">
      <c r="AZ49" s="25">
        <v>46</v>
      </c>
      <c r="BA49" s="25">
        <v>0.24146718041552676</v>
      </c>
      <c r="BB49" s="25">
        <v>0</v>
      </c>
      <c r="BC49" s="25">
        <v>3</v>
      </c>
      <c r="BD49" s="25">
        <v>9.0466666666666669</v>
      </c>
      <c r="BZ49">
        <v>0.35269709543568467</v>
      </c>
      <c r="CA49">
        <v>0.25423728813559321</v>
      </c>
      <c r="CB49">
        <v>0.35269709543568467</v>
      </c>
    </row>
    <row r="50" spans="52:80" x14ac:dyDescent="0.25">
      <c r="AZ50" s="25">
        <v>47</v>
      </c>
      <c r="BA50" s="25">
        <v>0.24030925003217191</v>
      </c>
      <c r="BB50" s="25">
        <v>0</v>
      </c>
      <c r="BC50" s="25">
        <v>3</v>
      </c>
      <c r="BD50" s="25">
        <v>9.2433333333333323</v>
      </c>
      <c r="BZ50">
        <v>0.37344398340248963</v>
      </c>
      <c r="CA50">
        <v>0.25423728813559321</v>
      </c>
      <c r="CB50">
        <v>0.37344398340248963</v>
      </c>
    </row>
    <row r="51" spans="52:80" x14ac:dyDescent="0.25">
      <c r="AZ51" s="25">
        <v>48</v>
      </c>
      <c r="BA51" s="25">
        <v>0.24030925003217191</v>
      </c>
      <c r="BB51" s="25">
        <v>0</v>
      </c>
      <c r="BC51" s="25">
        <v>3</v>
      </c>
      <c r="BD51" s="25">
        <v>9.44</v>
      </c>
      <c r="BZ51">
        <v>0.38174273858921159</v>
      </c>
      <c r="CA51">
        <v>0.30508474576271188</v>
      </c>
      <c r="CB51">
        <v>0.38174273858921159</v>
      </c>
    </row>
    <row r="52" spans="52:80" x14ac:dyDescent="0.25">
      <c r="AZ52" s="25">
        <v>49</v>
      </c>
      <c r="BA52" s="25">
        <v>0.24030925003217191</v>
      </c>
      <c r="BB52" s="25">
        <v>0</v>
      </c>
      <c r="BC52" s="25">
        <v>3</v>
      </c>
      <c r="BD52" s="25">
        <v>9.6366666666666667</v>
      </c>
      <c r="BZ52">
        <v>0.38589211618257263</v>
      </c>
      <c r="CA52">
        <v>0.30508474576271188</v>
      </c>
      <c r="CB52">
        <v>0.38589211618257263</v>
      </c>
    </row>
    <row r="53" spans="52:80" x14ac:dyDescent="0.25">
      <c r="AZ53" s="25">
        <v>50</v>
      </c>
      <c r="BA53" s="25">
        <v>0.24030925003217191</v>
      </c>
      <c r="BB53" s="25">
        <v>0</v>
      </c>
      <c r="BC53" s="25">
        <v>3</v>
      </c>
      <c r="BD53" s="25">
        <v>9.8333333333333321</v>
      </c>
      <c r="BZ53">
        <v>0.38589211618257263</v>
      </c>
      <c r="CA53">
        <v>0.33898305084745761</v>
      </c>
      <c r="CB53">
        <v>0.38589211618257263</v>
      </c>
    </row>
    <row r="54" spans="52:80" x14ac:dyDescent="0.25">
      <c r="AZ54" s="25">
        <v>51</v>
      </c>
      <c r="BA54" s="25">
        <v>0.23800479968995475</v>
      </c>
      <c r="BB54" s="25">
        <v>1</v>
      </c>
      <c r="BC54" s="25">
        <v>4</v>
      </c>
      <c r="BD54" s="25">
        <v>10.029999999999999</v>
      </c>
      <c r="BZ54">
        <v>0.39419087136929459</v>
      </c>
      <c r="CA54">
        <v>0.33898305084745761</v>
      </c>
      <c r="CB54">
        <v>0.39419087136929459</v>
      </c>
    </row>
    <row r="55" spans="52:80" x14ac:dyDescent="0.25">
      <c r="AZ55" s="25">
        <v>52</v>
      </c>
      <c r="BA55" s="25">
        <v>0.23800479968995475</v>
      </c>
      <c r="BB55" s="25">
        <v>0</v>
      </c>
      <c r="BC55" s="25">
        <v>4</v>
      </c>
      <c r="BD55" s="25">
        <v>10.226666666666667</v>
      </c>
      <c r="BZ55">
        <v>0.39419087136929459</v>
      </c>
      <c r="CA55">
        <v>0.38983050847457629</v>
      </c>
      <c r="CB55">
        <v>0.39419087136929459</v>
      </c>
    </row>
    <row r="56" spans="52:80" x14ac:dyDescent="0.25">
      <c r="AZ56" s="25">
        <v>53</v>
      </c>
      <c r="BA56" s="25">
        <v>0.23685828821051477</v>
      </c>
      <c r="BB56" s="25">
        <v>0</v>
      </c>
      <c r="BC56" s="25">
        <v>4</v>
      </c>
      <c r="BD56" s="25">
        <v>10.423333333333332</v>
      </c>
      <c r="BZ56">
        <v>0.40663900414937759</v>
      </c>
      <c r="CA56">
        <v>0.42372881355932202</v>
      </c>
      <c r="CB56">
        <v>0.40663900414937759</v>
      </c>
    </row>
    <row r="57" spans="52:80" x14ac:dyDescent="0.25">
      <c r="AZ57" s="25">
        <v>54</v>
      </c>
      <c r="BA57" s="25">
        <v>0.23457671248419984</v>
      </c>
      <c r="BB57" s="25">
        <v>0</v>
      </c>
      <c r="BC57" s="25">
        <v>4</v>
      </c>
      <c r="BD57" s="25">
        <v>10.62</v>
      </c>
      <c r="BZ57">
        <v>0.41078838174273857</v>
      </c>
      <c r="CA57">
        <v>0.44067796610169491</v>
      </c>
      <c r="CB57">
        <v>0.41078838174273857</v>
      </c>
    </row>
    <row r="58" spans="52:80" x14ac:dyDescent="0.25">
      <c r="AZ58" s="25">
        <v>55</v>
      </c>
      <c r="BA58" s="25">
        <v>0.23457671248419984</v>
      </c>
      <c r="BB58" s="25">
        <v>0</v>
      </c>
      <c r="BC58" s="25">
        <v>4</v>
      </c>
      <c r="BD58" s="25">
        <v>10.816666666666666</v>
      </c>
      <c r="BZ58">
        <v>0.42323651452282157</v>
      </c>
      <c r="CA58">
        <v>0.44067796610169491</v>
      </c>
      <c r="CB58">
        <v>0.42323651452282157</v>
      </c>
    </row>
    <row r="59" spans="52:80" x14ac:dyDescent="0.25">
      <c r="AZ59" s="25">
        <v>56</v>
      </c>
      <c r="BA59" s="25">
        <v>0.23457671248419984</v>
      </c>
      <c r="BB59" s="25">
        <v>0</v>
      </c>
      <c r="BC59" s="25">
        <v>4</v>
      </c>
      <c r="BD59" s="25">
        <v>11.013333333333332</v>
      </c>
      <c r="BZ59">
        <v>0.42738589211618255</v>
      </c>
      <c r="CA59">
        <v>0.4576271186440678</v>
      </c>
      <c r="CB59">
        <v>0.42738589211618255</v>
      </c>
    </row>
    <row r="60" spans="52:80" x14ac:dyDescent="0.25">
      <c r="AZ60" s="25">
        <v>57</v>
      </c>
      <c r="BA60" s="25">
        <v>0.23457671248419984</v>
      </c>
      <c r="BB60" s="25">
        <v>0</v>
      </c>
      <c r="BC60" s="25">
        <v>4</v>
      </c>
      <c r="BD60" s="25">
        <v>11.209999999999999</v>
      </c>
      <c r="BZ60">
        <v>0.43983402489626555</v>
      </c>
      <c r="CA60">
        <v>0.4576271186440678</v>
      </c>
      <c r="CB60">
        <v>0.43983402489626555</v>
      </c>
    </row>
    <row r="61" spans="52:80" x14ac:dyDescent="0.25">
      <c r="AZ61" s="25">
        <v>58</v>
      </c>
      <c r="BA61" s="25">
        <v>0.23344165564113931</v>
      </c>
      <c r="BB61" s="25">
        <v>0</v>
      </c>
      <c r="BC61" s="25">
        <v>4</v>
      </c>
      <c r="BD61" s="25">
        <v>11.406666666666666</v>
      </c>
      <c r="BZ61">
        <v>0.44398340248962653</v>
      </c>
      <c r="CA61">
        <v>0.47457627118644069</v>
      </c>
      <c r="CB61">
        <v>0.44398340248962653</v>
      </c>
    </row>
    <row r="62" spans="52:80" x14ac:dyDescent="0.25">
      <c r="AZ62" s="25">
        <v>59</v>
      </c>
      <c r="BA62" s="25">
        <v>0.23344165564113931</v>
      </c>
      <c r="BB62" s="25">
        <v>0</v>
      </c>
      <c r="BC62" s="25">
        <v>4</v>
      </c>
      <c r="BD62" s="25">
        <v>11.603333333333333</v>
      </c>
      <c r="BZ62">
        <v>0.44398340248962653</v>
      </c>
      <c r="CA62">
        <v>0.49152542372881358</v>
      </c>
      <c r="CB62">
        <v>0.44398340248962653</v>
      </c>
    </row>
    <row r="63" spans="52:80" x14ac:dyDescent="0.25">
      <c r="AZ63" s="25">
        <v>60</v>
      </c>
      <c r="BA63" s="25">
        <v>0.23344165564113931</v>
      </c>
      <c r="BB63" s="25">
        <v>0</v>
      </c>
      <c r="BC63" s="25">
        <v>4</v>
      </c>
      <c r="BD63" s="25">
        <v>11.799999999999999</v>
      </c>
      <c r="BZ63">
        <v>0.45228215767634855</v>
      </c>
      <c r="CA63">
        <v>0.52542372881355937</v>
      </c>
      <c r="CB63">
        <v>0.45228215767634855</v>
      </c>
    </row>
    <row r="64" spans="52:80" x14ac:dyDescent="0.25">
      <c r="AZ64" s="24">
        <v>61</v>
      </c>
      <c r="BA64" s="24">
        <v>0.23231042411848823</v>
      </c>
      <c r="BB64" s="24">
        <v>0</v>
      </c>
      <c r="BC64" s="24">
        <v>4</v>
      </c>
      <c r="BD64" s="24">
        <v>11.996666666666666</v>
      </c>
      <c r="BZ64">
        <v>0.46058091286307051</v>
      </c>
      <c r="CA64">
        <v>0.52542372881355937</v>
      </c>
      <c r="CB64">
        <v>0.46058091286307051</v>
      </c>
    </row>
    <row r="65" spans="52:80" x14ac:dyDescent="0.25">
      <c r="AZ65" s="24">
        <v>62</v>
      </c>
      <c r="BA65" s="24">
        <v>0.23231042411848823</v>
      </c>
      <c r="BB65" s="24">
        <v>0</v>
      </c>
      <c r="BC65" s="24">
        <v>4</v>
      </c>
      <c r="BD65" s="24">
        <v>12.193333333333333</v>
      </c>
      <c r="BZ65">
        <v>0.46058091286307051</v>
      </c>
      <c r="CA65">
        <v>0.5423728813559322</v>
      </c>
      <c r="CB65">
        <v>0.46058091286307051</v>
      </c>
    </row>
    <row r="66" spans="52:80" x14ac:dyDescent="0.25">
      <c r="AZ66" s="24">
        <v>63</v>
      </c>
      <c r="BA66" s="24">
        <v>0.23118302117627954</v>
      </c>
      <c r="BB66" s="24">
        <v>1</v>
      </c>
      <c r="BC66" s="24">
        <v>5</v>
      </c>
      <c r="BD66" s="24">
        <v>12.389999999999999</v>
      </c>
      <c r="BZ66">
        <v>0.47302904564315351</v>
      </c>
      <c r="CA66">
        <v>0.55932203389830504</v>
      </c>
      <c r="CB66">
        <v>0.47302904564315351</v>
      </c>
    </row>
    <row r="67" spans="52:80" x14ac:dyDescent="0.25">
      <c r="AZ67" s="24">
        <v>64</v>
      </c>
      <c r="BA67" s="24">
        <v>0.23118302117627954</v>
      </c>
      <c r="BB67" s="24">
        <v>0</v>
      </c>
      <c r="BC67" s="24">
        <v>5</v>
      </c>
      <c r="BD67" s="24">
        <v>12.586666666666666</v>
      </c>
      <c r="BZ67">
        <v>0.47302904564315351</v>
      </c>
      <c r="CA67">
        <v>0.57627118644067798</v>
      </c>
      <c r="CB67">
        <v>0.47302904564315351</v>
      </c>
    </row>
    <row r="68" spans="52:80" x14ac:dyDescent="0.25">
      <c r="AZ68" s="24">
        <v>65</v>
      </c>
      <c r="BA68" s="24">
        <v>0.22893971319916176</v>
      </c>
      <c r="BB68" s="24">
        <v>1</v>
      </c>
      <c r="BC68" s="24">
        <v>6</v>
      </c>
      <c r="BD68" s="24">
        <v>12.783333333333333</v>
      </c>
      <c r="BZ68">
        <v>0.48962655601659749</v>
      </c>
      <c r="CA68">
        <v>0.57627118644067798</v>
      </c>
      <c r="CB68">
        <v>0.48962655601659749</v>
      </c>
    </row>
    <row r="69" spans="52:80" x14ac:dyDescent="0.25">
      <c r="AZ69" s="24">
        <v>66</v>
      </c>
      <c r="BA69" s="24">
        <v>0.22893971319916176</v>
      </c>
      <c r="BB69" s="24">
        <v>0</v>
      </c>
      <c r="BC69" s="24">
        <v>6</v>
      </c>
      <c r="BD69" s="24">
        <v>12.979999999999999</v>
      </c>
      <c r="BZ69">
        <v>0.48962655601659749</v>
      </c>
      <c r="CA69">
        <v>0.61016949152542377</v>
      </c>
      <c r="CB69">
        <v>0.48962655601659749</v>
      </c>
    </row>
    <row r="70" spans="52:80" x14ac:dyDescent="0.25">
      <c r="AZ70" s="24">
        <v>67</v>
      </c>
      <c r="BA70" s="24">
        <v>0.22782381381309177</v>
      </c>
      <c r="BB70" s="24">
        <v>0</v>
      </c>
      <c r="BC70" s="24">
        <v>6</v>
      </c>
      <c r="BD70" s="24">
        <v>13.176666666666666</v>
      </c>
      <c r="BZ70">
        <v>0.49377593360995853</v>
      </c>
      <c r="CA70">
        <v>0.6271186440677966</v>
      </c>
      <c r="CB70">
        <v>0.49377593360995853</v>
      </c>
    </row>
    <row r="71" spans="52:80" x14ac:dyDescent="0.25">
      <c r="AZ71" s="24">
        <v>68</v>
      </c>
      <c r="BA71" s="24">
        <v>0.22671175430712215</v>
      </c>
      <c r="BB71" s="24">
        <v>0</v>
      </c>
      <c r="BC71" s="24">
        <v>6</v>
      </c>
      <c r="BD71" s="24">
        <v>13.373333333333333</v>
      </c>
      <c r="BZ71">
        <v>0.49792531120331951</v>
      </c>
      <c r="CA71">
        <v>0.6271186440677966</v>
      </c>
      <c r="CB71">
        <v>0.49792531120331951</v>
      </c>
    </row>
    <row r="72" spans="52:80" x14ac:dyDescent="0.25">
      <c r="AZ72" s="24">
        <v>69</v>
      </c>
      <c r="BA72" s="24">
        <v>0.22671175430712215</v>
      </c>
      <c r="BB72" s="24">
        <v>0</v>
      </c>
      <c r="BC72" s="24">
        <v>6</v>
      </c>
      <c r="BD72" s="24">
        <v>13.569999999999999</v>
      </c>
      <c r="BZ72">
        <v>0.49792531120331951</v>
      </c>
      <c r="CA72">
        <v>0.64406779661016944</v>
      </c>
      <c r="CB72">
        <v>0.49792531120331951</v>
      </c>
    </row>
    <row r="73" spans="52:80" x14ac:dyDescent="0.25">
      <c r="AZ73" s="24">
        <v>70</v>
      </c>
      <c r="BA73" s="24">
        <v>0.22671175430712207</v>
      </c>
      <c r="BB73" s="24">
        <v>1</v>
      </c>
      <c r="BC73" s="24">
        <v>7</v>
      </c>
      <c r="BD73" s="24">
        <v>13.766666666666666</v>
      </c>
      <c r="BZ73">
        <v>0.50622406639004147</v>
      </c>
      <c r="CA73">
        <v>0.64406779661016944</v>
      </c>
      <c r="CB73">
        <v>0.50622406639004147</v>
      </c>
    </row>
    <row r="74" spans="52:80" x14ac:dyDescent="0.25">
      <c r="AZ74" s="24">
        <v>71</v>
      </c>
      <c r="BA74" s="24">
        <v>0.22560353707599728</v>
      </c>
      <c r="BB74" s="24">
        <v>0</v>
      </c>
      <c r="BC74" s="24">
        <v>7</v>
      </c>
      <c r="BD74" s="24">
        <v>13.963333333333333</v>
      </c>
      <c r="BZ74">
        <v>0.52282157676348551</v>
      </c>
      <c r="CA74">
        <v>0.66101694915254239</v>
      </c>
      <c r="CB74">
        <v>0.52282157676348551</v>
      </c>
    </row>
    <row r="75" spans="52:80" x14ac:dyDescent="0.25">
      <c r="AZ75" s="24">
        <v>72</v>
      </c>
      <c r="BA75" s="24">
        <v>0.22560353707599728</v>
      </c>
      <c r="BB75" s="24">
        <v>1</v>
      </c>
      <c r="BC75" s="24">
        <v>8</v>
      </c>
      <c r="BD75" s="24">
        <v>14.16</v>
      </c>
      <c r="BZ75">
        <v>0.52697095435684649</v>
      </c>
      <c r="CA75">
        <v>0.66101694915254239</v>
      </c>
      <c r="CB75">
        <v>0.52697095435684649</v>
      </c>
    </row>
    <row r="76" spans="52:80" x14ac:dyDescent="0.25">
      <c r="AZ76" s="24">
        <v>73</v>
      </c>
      <c r="BA76" s="24">
        <v>0.22339863816801717</v>
      </c>
      <c r="BB76" s="24">
        <v>0</v>
      </c>
      <c r="BC76" s="24">
        <v>8</v>
      </c>
      <c r="BD76" s="24">
        <v>14.356666666666666</v>
      </c>
      <c r="BZ76">
        <v>0.53941908713692943</v>
      </c>
      <c r="CA76">
        <v>0.67796610169491522</v>
      </c>
      <c r="CB76">
        <v>0.53941908713692943</v>
      </c>
    </row>
    <row r="77" spans="52:80" x14ac:dyDescent="0.25">
      <c r="AZ77" s="24">
        <v>74</v>
      </c>
      <c r="BA77" s="24">
        <v>0.22230196043449058</v>
      </c>
      <c r="BB77" s="24">
        <v>0</v>
      </c>
      <c r="BC77" s="24">
        <v>8</v>
      </c>
      <c r="BD77" s="24">
        <v>14.553333333333333</v>
      </c>
      <c r="BZ77">
        <v>0.53941908713692943</v>
      </c>
      <c r="CA77">
        <v>0.69491525423728817</v>
      </c>
      <c r="CB77">
        <v>0.53941908713692943</v>
      </c>
    </row>
    <row r="78" spans="52:80" x14ac:dyDescent="0.25">
      <c r="AZ78" s="24">
        <v>75</v>
      </c>
      <c r="BA78" s="24">
        <v>0.22230196043449058</v>
      </c>
      <c r="BB78" s="24">
        <v>0</v>
      </c>
      <c r="BC78" s="24">
        <v>8</v>
      </c>
      <c r="BD78" s="24">
        <v>14.75</v>
      </c>
      <c r="BZ78">
        <v>0.5477178423236515</v>
      </c>
      <c r="CA78">
        <v>0.69491525423728817</v>
      </c>
      <c r="CB78">
        <v>0.5477178423236515</v>
      </c>
    </row>
    <row r="79" spans="52:80" x14ac:dyDescent="0.25">
      <c r="AZ79" s="24">
        <v>76</v>
      </c>
      <c r="BA79" s="24">
        <v>0.22230196043449058</v>
      </c>
      <c r="BB79" s="24">
        <v>0</v>
      </c>
      <c r="BC79" s="24">
        <v>8</v>
      </c>
      <c r="BD79" s="24">
        <v>14.946666666666665</v>
      </c>
      <c r="BZ79">
        <v>0.55601659751037347</v>
      </c>
      <c r="CA79">
        <v>0.71186440677966101</v>
      </c>
      <c r="CB79">
        <v>0.55601659751037347</v>
      </c>
    </row>
    <row r="80" spans="52:80" x14ac:dyDescent="0.25">
      <c r="AZ80" s="24">
        <v>77</v>
      </c>
      <c r="BA80" s="24">
        <v>0.22230196043449052</v>
      </c>
      <c r="BB80" s="24">
        <v>1</v>
      </c>
      <c r="BC80" s="24">
        <v>9</v>
      </c>
      <c r="BD80" s="24">
        <v>15.143333333333333</v>
      </c>
      <c r="BZ80">
        <v>0.56016597510373445</v>
      </c>
      <c r="CA80">
        <v>0.72881355932203384</v>
      </c>
      <c r="CB80">
        <v>0.56016597510373445</v>
      </c>
    </row>
    <row r="81" spans="52:80" x14ac:dyDescent="0.25">
      <c r="AZ81" s="24">
        <v>78</v>
      </c>
      <c r="BA81" s="24">
        <v>0.22120913286454225</v>
      </c>
      <c r="BB81" s="24">
        <v>0</v>
      </c>
      <c r="BC81" s="24">
        <v>9</v>
      </c>
      <c r="BD81" s="24">
        <v>15.34</v>
      </c>
      <c r="BZ81">
        <v>0.56016597510373445</v>
      </c>
      <c r="CA81">
        <v>0.76271186440677963</v>
      </c>
      <c r="CB81">
        <v>0.56016597510373445</v>
      </c>
    </row>
    <row r="82" spans="52:80" x14ac:dyDescent="0.25">
      <c r="AZ82" s="24">
        <v>79</v>
      </c>
      <c r="BA82" s="24">
        <v>0.22120913286454225</v>
      </c>
      <c r="BB82" s="24">
        <v>0</v>
      </c>
      <c r="BC82" s="24">
        <v>9</v>
      </c>
      <c r="BD82" s="24">
        <v>15.536666666666665</v>
      </c>
      <c r="BZ82">
        <v>0.56016597510373445</v>
      </c>
      <c r="CA82">
        <v>0.83050847457627119</v>
      </c>
      <c r="CB82">
        <v>0.56016597510373445</v>
      </c>
    </row>
    <row r="83" spans="52:80" x14ac:dyDescent="0.25">
      <c r="AZ83" s="24">
        <v>80</v>
      </c>
      <c r="BA83" s="24">
        <v>0.22012015701298474</v>
      </c>
      <c r="BB83" s="24">
        <v>0</v>
      </c>
      <c r="BC83" s="24">
        <v>9</v>
      </c>
      <c r="BD83" s="24">
        <v>15.733333333333333</v>
      </c>
      <c r="BZ83">
        <v>0.56846473029045641</v>
      </c>
      <c r="CA83">
        <v>0.83050847457627119</v>
      </c>
      <c r="CB83">
        <v>0.56846473029045641</v>
      </c>
    </row>
    <row r="84" spans="52:80" x14ac:dyDescent="0.25">
      <c r="AZ84" s="24">
        <v>81</v>
      </c>
      <c r="BA84" s="24">
        <v>0.22012015701298474</v>
      </c>
      <c r="BB84" s="24">
        <v>0</v>
      </c>
      <c r="BC84" s="24">
        <v>9</v>
      </c>
      <c r="BD84" s="24">
        <v>15.93</v>
      </c>
      <c r="BZ84">
        <v>0.57676348547717837</v>
      </c>
      <c r="CA84">
        <v>0.86440677966101698</v>
      </c>
      <c r="CB84">
        <v>0.57676348547717837</v>
      </c>
    </row>
    <row r="85" spans="52:80" x14ac:dyDescent="0.25">
      <c r="AZ85" s="24">
        <v>82</v>
      </c>
      <c r="BA85" s="24">
        <v>0.22012015701298474</v>
      </c>
      <c r="BB85" s="24">
        <v>0</v>
      </c>
      <c r="BC85" s="24">
        <v>9</v>
      </c>
      <c r="BD85" s="24">
        <v>16.126666666666665</v>
      </c>
      <c r="BZ85">
        <v>0.57676348547717837</v>
      </c>
      <c r="CA85">
        <v>0.89830508474576276</v>
      </c>
      <c r="CB85">
        <v>0.57676348547717837</v>
      </c>
    </row>
    <row r="86" spans="52:80" x14ac:dyDescent="0.25">
      <c r="AZ86" s="24">
        <v>83</v>
      </c>
      <c r="BA86" s="24">
        <v>0.21903503426978932</v>
      </c>
      <c r="BB86" s="24">
        <v>1</v>
      </c>
      <c r="BC86" s="24">
        <v>10</v>
      </c>
      <c r="BD86" s="24">
        <v>16.323333333333334</v>
      </c>
      <c r="BZ86">
        <v>0.58091286307053946</v>
      </c>
      <c r="CA86">
        <v>0.89830508474576276</v>
      </c>
      <c r="CB86">
        <v>0.58091286307053946</v>
      </c>
    </row>
    <row r="87" spans="52:80" x14ac:dyDescent="0.25">
      <c r="AZ87" s="24">
        <v>84</v>
      </c>
      <c r="BA87" s="24">
        <v>0.21903503426978932</v>
      </c>
      <c r="BB87" s="24">
        <v>0</v>
      </c>
      <c r="BC87" s="24">
        <v>10</v>
      </c>
      <c r="BD87" s="24">
        <v>16.52</v>
      </c>
      <c r="BZ87">
        <v>0.58091286307053946</v>
      </c>
      <c r="CA87">
        <v>0.9152542372881356</v>
      </c>
      <c r="CB87">
        <v>0.58091286307053946</v>
      </c>
    </row>
    <row r="88" spans="52:80" x14ac:dyDescent="0.25">
      <c r="AZ88" s="24">
        <v>85</v>
      </c>
      <c r="BA88" s="24">
        <v>0.21795376586115467</v>
      </c>
      <c r="BB88" s="24">
        <v>1</v>
      </c>
      <c r="BC88" s="24">
        <v>11</v>
      </c>
      <c r="BD88" s="24">
        <v>16.716666666666665</v>
      </c>
      <c r="BZ88">
        <v>0.58506224066390045</v>
      </c>
      <c r="CA88">
        <v>0.9152542372881356</v>
      </c>
      <c r="CB88">
        <v>0.58506224066390045</v>
      </c>
    </row>
    <row r="89" spans="52:80" x14ac:dyDescent="0.25">
      <c r="AZ89" s="24">
        <v>86</v>
      </c>
      <c r="BA89" s="24">
        <v>0.21795376586115467</v>
      </c>
      <c r="BB89" s="24">
        <v>1</v>
      </c>
      <c r="BC89" s="24">
        <v>12</v>
      </c>
      <c r="BD89" s="24">
        <v>16.913333333333334</v>
      </c>
      <c r="BZ89">
        <v>0.58921161825726143</v>
      </c>
      <c r="CA89">
        <v>0.9152542372881356</v>
      </c>
      <c r="CB89">
        <v>0.58921161825726143</v>
      </c>
    </row>
    <row r="90" spans="52:80" x14ac:dyDescent="0.25">
      <c r="AZ90" s="24">
        <v>87</v>
      </c>
      <c r="BA90" s="24">
        <v>0.21795376586115467</v>
      </c>
      <c r="BB90" s="24">
        <v>0</v>
      </c>
      <c r="BC90" s="24">
        <v>12</v>
      </c>
      <c r="BD90" s="24">
        <v>17.11</v>
      </c>
      <c r="BZ90">
        <v>0.60165975103734437</v>
      </c>
      <c r="CA90">
        <v>0.9152542372881356</v>
      </c>
      <c r="CB90">
        <v>0.60165975103734437</v>
      </c>
    </row>
    <row r="91" spans="52:80" x14ac:dyDescent="0.25">
      <c r="AZ91" s="24">
        <v>88</v>
      </c>
      <c r="BA91" s="24">
        <v>0.21687635285058307</v>
      </c>
      <c r="BB91" s="24">
        <v>0</v>
      </c>
      <c r="BC91" s="24">
        <v>12</v>
      </c>
      <c r="BD91" s="24">
        <v>17.306666666666665</v>
      </c>
      <c r="BZ91">
        <v>0.60995850622406644</v>
      </c>
      <c r="CA91">
        <v>0.9152542372881356</v>
      </c>
      <c r="CB91">
        <v>0.60995850622406644</v>
      </c>
    </row>
    <row r="92" spans="52:80" x14ac:dyDescent="0.25">
      <c r="AZ92" s="24">
        <v>89</v>
      </c>
      <c r="BA92" s="24">
        <v>0.21687635285058307</v>
      </c>
      <c r="BB92" s="24">
        <v>0</v>
      </c>
      <c r="BC92" s="24">
        <v>12</v>
      </c>
      <c r="BD92" s="24">
        <v>17.503333333333334</v>
      </c>
      <c r="BZ92">
        <v>0.62240663900414939</v>
      </c>
      <c r="CA92">
        <v>0.9152542372881356</v>
      </c>
      <c r="CB92">
        <v>0.62240663900414939</v>
      </c>
    </row>
    <row r="93" spans="52:80" x14ac:dyDescent="0.25">
      <c r="AZ93" s="24">
        <v>90</v>
      </c>
      <c r="BA93" s="24">
        <v>0.21687635285058307</v>
      </c>
      <c r="BB93" s="24">
        <v>1</v>
      </c>
      <c r="BC93" s="24">
        <v>13</v>
      </c>
      <c r="BD93" s="24">
        <v>17.7</v>
      </c>
      <c r="BZ93">
        <v>0.62240663900414939</v>
      </c>
      <c r="CA93">
        <v>0.93220338983050843</v>
      </c>
      <c r="CB93">
        <v>0.62240663900414939</v>
      </c>
    </row>
    <row r="94" spans="52:80" x14ac:dyDescent="0.25">
      <c r="AZ94" s="25">
        <v>91</v>
      </c>
      <c r="BA94" s="25">
        <v>0.21687635285058307</v>
      </c>
      <c r="BB94" s="25">
        <v>0</v>
      </c>
      <c r="BC94" s="25">
        <v>13</v>
      </c>
      <c r="BD94" s="25">
        <v>17.896666666666665</v>
      </c>
      <c r="BZ94">
        <v>0.63070539419087135</v>
      </c>
      <c r="CA94">
        <v>0.93220338983050843</v>
      </c>
      <c r="CB94">
        <v>0.63070539419087135</v>
      </c>
    </row>
    <row r="95" spans="52:80" x14ac:dyDescent="0.25">
      <c r="AZ95" s="25">
        <v>92</v>
      </c>
      <c r="BA95" s="25">
        <v>0.21687635285058307</v>
      </c>
      <c r="BB95" s="25">
        <v>0</v>
      </c>
      <c r="BC95" s="25">
        <v>13</v>
      </c>
      <c r="BD95" s="25">
        <v>18.093333333333334</v>
      </c>
      <c r="BZ95">
        <v>0.63485477178423233</v>
      </c>
      <c r="CA95">
        <v>0.94915254237288138</v>
      </c>
      <c r="CB95">
        <v>0.63485477178423233</v>
      </c>
    </row>
    <row r="96" spans="52:80" x14ac:dyDescent="0.25">
      <c r="AZ96" s="25">
        <v>93</v>
      </c>
      <c r="BA96" s="25">
        <v>0.21687635285058307</v>
      </c>
      <c r="BB96" s="25">
        <v>1</v>
      </c>
      <c r="BC96" s="25">
        <v>14</v>
      </c>
      <c r="BD96" s="25">
        <v>18.29</v>
      </c>
      <c r="BZ96">
        <v>0.65145228215767637</v>
      </c>
      <c r="CA96">
        <v>0.94915254237288138</v>
      </c>
      <c r="CB96">
        <v>0.65145228215767637</v>
      </c>
    </row>
    <row r="97" spans="52:80" x14ac:dyDescent="0.25">
      <c r="AZ97" s="25">
        <v>94</v>
      </c>
      <c r="BA97" s="25">
        <v>0.21687635285058307</v>
      </c>
      <c r="BB97" s="25">
        <v>0</v>
      </c>
      <c r="BC97" s="25">
        <v>14</v>
      </c>
      <c r="BD97" s="25">
        <v>18.486666666666665</v>
      </c>
      <c r="BZ97">
        <v>0.65975103734439833</v>
      </c>
      <c r="CA97">
        <v>0.94915254237288138</v>
      </c>
      <c r="CB97">
        <v>0.65975103734439833</v>
      </c>
    </row>
    <row r="98" spans="52:80" x14ac:dyDescent="0.25">
      <c r="AZ98" s="25">
        <v>95</v>
      </c>
      <c r="BA98" s="25">
        <v>0.21580279613996525</v>
      </c>
      <c r="BB98" s="25">
        <v>0</v>
      </c>
      <c r="BC98" s="25">
        <v>14</v>
      </c>
      <c r="BD98" s="25">
        <v>18.683333333333334</v>
      </c>
      <c r="BZ98">
        <v>0.66390041493775931</v>
      </c>
      <c r="CA98">
        <v>0.96610169491525422</v>
      </c>
      <c r="CB98">
        <v>0.66390041493775931</v>
      </c>
    </row>
    <row r="99" spans="52:80" x14ac:dyDescent="0.25">
      <c r="AZ99" s="25">
        <v>96</v>
      </c>
      <c r="BA99" s="25">
        <v>0.21580279613996525</v>
      </c>
      <c r="BB99" s="25">
        <v>0</v>
      </c>
      <c r="BC99" s="25">
        <v>14</v>
      </c>
      <c r="BD99" s="25">
        <v>18.88</v>
      </c>
      <c r="BZ99">
        <v>0.68049792531120334</v>
      </c>
      <c r="CA99">
        <v>0.96610169491525422</v>
      </c>
      <c r="CB99">
        <v>0.68049792531120334</v>
      </c>
    </row>
    <row r="100" spans="52:80" x14ac:dyDescent="0.25">
      <c r="AZ100" s="25">
        <v>97</v>
      </c>
      <c r="BA100" s="25">
        <v>0.21580279613996525</v>
      </c>
      <c r="BB100" s="25">
        <v>0</v>
      </c>
      <c r="BC100" s="25">
        <v>14</v>
      </c>
      <c r="BD100" s="25">
        <v>19.076666666666664</v>
      </c>
      <c r="BZ100">
        <v>0.70539419087136934</v>
      </c>
      <c r="CA100">
        <v>0.96610169491525422</v>
      </c>
      <c r="CB100">
        <v>0.70539419087136934</v>
      </c>
    </row>
    <row r="101" spans="52:80" x14ac:dyDescent="0.25">
      <c r="AZ101" s="25">
        <v>98</v>
      </c>
      <c r="BA101" s="25">
        <v>0.21580279613996525</v>
      </c>
      <c r="BB101" s="25">
        <v>0</v>
      </c>
      <c r="BC101" s="25">
        <v>14</v>
      </c>
      <c r="BD101" s="25">
        <v>19.273333333333333</v>
      </c>
      <c r="BZ101">
        <v>0.71784232365145229</v>
      </c>
      <c r="CA101">
        <v>0.96610169491525422</v>
      </c>
      <c r="CB101">
        <v>0.71784232365145229</v>
      </c>
    </row>
    <row r="102" spans="52:80" x14ac:dyDescent="0.25">
      <c r="AZ102" s="25">
        <v>99</v>
      </c>
      <c r="BA102" s="25">
        <v>0.21580279613996525</v>
      </c>
      <c r="BB102" s="25">
        <v>0</v>
      </c>
      <c r="BC102" s="25">
        <v>14</v>
      </c>
      <c r="BD102" s="25">
        <v>19.47</v>
      </c>
      <c r="BZ102">
        <v>0.71784232365145229</v>
      </c>
      <c r="CA102">
        <v>0.98305084745762716</v>
      </c>
      <c r="CB102">
        <v>0.71784232365145229</v>
      </c>
    </row>
    <row r="103" spans="52:80" x14ac:dyDescent="0.25">
      <c r="AZ103" s="25">
        <v>100</v>
      </c>
      <c r="BA103" s="25">
        <v>0.21473309647067185</v>
      </c>
      <c r="BB103" s="25">
        <v>1</v>
      </c>
      <c r="BC103" s="25">
        <v>15</v>
      </c>
      <c r="BD103" s="25">
        <v>19.666666666666664</v>
      </c>
      <c r="BZ103">
        <v>0.72614107883817425</v>
      </c>
      <c r="CA103">
        <v>0.98305084745762716</v>
      </c>
      <c r="CB103">
        <v>0.72614107883817425</v>
      </c>
    </row>
    <row r="104" spans="52:80" x14ac:dyDescent="0.25">
      <c r="AZ104" s="25">
        <v>101</v>
      </c>
      <c r="BA104" s="25">
        <v>0.21473309647067179</v>
      </c>
      <c r="BB104" s="25">
        <v>0</v>
      </c>
      <c r="BC104" s="25">
        <v>15</v>
      </c>
      <c r="BD104" s="25">
        <v>19.863333333333333</v>
      </c>
      <c r="BZ104">
        <v>0.73029045643153523</v>
      </c>
      <c r="CA104">
        <v>0.98305084745762716</v>
      </c>
      <c r="CB104">
        <v>0.73029045643153523</v>
      </c>
    </row>
    <row r="105" spans="52:80" x14ac:dyDescent="0.25">
      <c r="AZ105" s="25">
        <v>102</v>
      </c>
      <c r="BA105" s="25">
        <v>0.21473309647067179</v>
      </c>
      <c r="BB105" s="25">
        <v>0</v>
      </c>
      <c r="BC105" s="25">
        <v>15</v>
      </c>
      <c r="BD105" s="25">
        <v>20.059999999999999</v>
      </c>
      <c r="BZ105">
        <v>0.73443983402489632</v>
      </c>
      <c r="CA105">
        <v>0.98305084745762716</v>
      </c>
      <c r="CB105">
        <v>0.73443983402489632</v>
      </c>
    </row>
    <row r="106" spans="52:80" x14ac:dyDescent="0.25">
      <c r="AZ106" s="25">
        <v>103</v>
      </c>
      <c r="BA106" s="25">
        <v>0.21473309647067179</v>
      </c>
      <c r="BB106" s="25">
        <v>0</v>
      </c>
      <c r="BC106" s="25">
        <v>15</v>
      </c>
      <c r="BD106" s="25">
        <v>20.256666666666664</v>
      </c>
      <c r="BZ106">
        <v>0.74273858921161828</v>
      </c>
      <c r="CA106">
        <v>0.98305084745762716</v>
      </c>
      <c r="CB106">
        <v>0.74273858921161828</v>
      </c>
    </row>
    <row r="107" spans="52:80" x14ac:dyDescent="0.25">
      <c r="AZ107" s="25">
        <v>104</v>
      </c>
      <c r="BA107" s="25">
        <v>0.21473309647067179</v>
      </c>
      <c r="BB107" s="25">
        <v>0</v>
      </c>
      <c r="BC107" s="25">
        <v>15</v>
      </c>
      <c r="BD107" s="25">
        <v>20.453333333333333</v>
      </c>
      <c r="BZ107">
        <v>0.74688796680497926</v>
      </c>
      <c r="CA107">
        <v>0.98305084745762716</v>
      </c>
      <c r="CB107">
        <v>0.74688796680497926</v>
      </c>
    </row>
    <row r="108" spans="52:80" x14ac:dyDescent="0.25">
      <c r="AZ108" s="25">
        <v>105</v>
      </c>
      <c r="BA108" s="25">
        <v>0.21473309647067179</v>
      </c>
      <c r="BB108" s="25">
        <v>0</v>
      </c>
      <c r="BC108" s="25">
        <v>15</v>
      </c>
      <c r="BD108" s="25">
        <v>20.65</v>
      </c>
      <c r="BZ108">
        <v>0.75933609958506221</v>
      </c>
      <c r="CA108">
        <v>1</v>
      </c>
      <c r="CB108">
        <v>0.75933609958506221</v>
      </c>
    </row>
    <row r="109" spans="52:80" x14ac:dyDescent="0.25">
      <c r="AZ109" s="25">
        <v>106</v>
      </c>
      <c r="BA109" s="25">
        <v>0.21260527042554705</v>
      </c>
      <c r="BB109" s="25">
        <v>1</v>
      </c>
      <c r="BC109" s="25">
        <v>16</v>
      </c>
      <c r="BD109" s="25">
        <v>20.846666666666664</v>
      </c>
      <c r="BZ109">
        <v>0.76348547717842319</v>
      </c>
      <c r="CA109">
        <v>1</v>
      </c>
      <c r="CB109">
        <v>0.76348547717842319</v>
      </c>
    </row>
    <row r="110" spans="52:80" x14ac:dyDescent="0.25">
      <c r="AZ110" s="25">
        <v>107</v>
      </c>
      <c r="BA110" s="25">
        <v>0.21260527042554705</v>
      </c>
      <c r="BB110" s="25">
        <v>1</v>
      </c>
      <c r="BC110" s="25">
        <v>17</v>
      </c>
      <c r="BD110" s="25">
        <v>21.043333333333333</v>
      </c>
      <c r="BZ110">
        <v>0.77178423236514526</v>
      </c>
      <c r="CA110">
        <v>1</v>
      </c>
      <c r="CB110">
        <v>0.77178423236514526</v>
      </c>
    </row>
    <row r="111" spans="52:80" x14ac:dyDescent="0.25">
      <c r="AZ111" s="25">
        <v>108</v>
      </c>
      <c r="BA111" s="25">
        <v>0.21260527042554705</v>
      </c>
      <c r="BB111" s="25">
        <v>0</v>
      </c>
      <c r="BC111" s="25">
        <v>17</v>
      </c>
      <c r="BD111" s="25">
        <v>21.24</v>
      </c>
      <c r="BZ111">
        <v>0.78008298755186722</v>
      </c>
      <c r="CA111">
        <v>1</v>
      </c>
      <c r="CB111">
        <v>0.78008298755186722</v>
      </c>
    </row>
    <row r="112" spans="52:80" x14ac:dyDescent="0.25">
      <c r="AZ112" s="25">
        <v>109</v>
      </c>
      <c r="BA112" s="25">
        <v>0.21260527042554705</v>
      </c>
      <c r="BB112" s="25">
        <v>1</v>
      </c>
      <c r="BC112" s="25">
        <v>18</v>
      </c>
      <c r="BD112" s="25">
        <v>21.436666666666664</v>
      </c>
      <c r="BZ112">
        <v>0.78838174273858919</v>
      </c>
      <c r="CA112">
        <v>1</v>
      </c>
      <c r="CB112">
        <v>0.78838174273858919</v>
      </c>
    </row>
    <row r="113" spans="52:80" x14ac:dyDescent="0.25">
      <c r="AZ113" s="25">
        <v>110</v>
      </c>
      <c r="BA113" s="25">
        <v>0.21260527042554705</v>
      </c>
      <c r="BB113" s="25">
        <v>0</v>
      </c>
      <c r="BC113" s="25">
        <v>18</v>
      </c>
      <c r="BD113" s="25">
        <v>21.633333333333333</v>
      </c>
      <c r="BZ113">
        <v>0.79253112033195017</v>
      </c>
      <c r="CA113">
        <v>1</v>
      </c>
      <c r="CB113">
        <v>0.79253112033195017</v>
      </c>
    </row>
    <row r="114" spans="52:80" x14ac:dyDescent="0.25">
      <c r="AZ114" s="25">
        <v>111</v>
      </c>
      <c r="BA114" s="25">
        <v>0.21154714473978944</v>
      </c>
      <c r="BB114" s="25">
        <v>0</v>
      </c>
      <c r="BC114" s="25">
        <v>18</v>
      </c>
      <c r="BD114" s="25">
        <v>21.83</v>
      </c>
      <c r="BZ114">
        <v>0.79668049792531115</v>
      </c>
      <c r="CA114">
        <v>1</v>
      </c>
      <c r="CB114">
        <v>0.79668049792531115</v>
      </c>
    </row>
    <row r="115" spans="52:80" x14ac:dyDescent="0.25">
      <c r="AZ115" s="25">
        <v>112</v>
      </c>
      <c r="BA115" s="25">
        <v>0.21049287747773754</v>
      </c>
      <c r="BB115" s="25">
        <v>1</v>
      </c>
      <c r="BC115" s="25">
        <v>19</v>
      </c>
      <c r="BD115" s="25">
        <v>22.026666666666664</v>
      </c>
      <c r="BZ115">
        <v>0.80497925311203322</v>
      </c>
      <c r="CA115">
        <v>1</v>
      </c>
      <c r="CB115">
        <v>0.80497925311203322</v>
      </c>
    </row>
    <row r="116" spans="52:80" x14ac:dyDescent="0.25">
      <c r="AZ116" s="25">
        <v>113</v>
      </c>
      <c r="BA116" s="25">
        <v>0.21049287747773754</v>
      </c>
      <c r="BB116" s="25">
        <v>1</v>
      </c>
      <c r="BC116" s="25">
        <v>20</v>
      </c>
      <c r="BD116" s="25">
        <v>22.223333333333333</v>
      </c>
      <c r="BZ116">
        <v>0.8091286307053942</v>
      </c>
      <c r="CA116">
        <v>1</v>
      </c>
      <c r="CB116">
        <v>0.8091286307053942</v>
      </c>
    </row>
    <row r="117" spans="52:80" x14ac:dyDescent="0.25">
      <c r="AZ117" s="25">
        <v>114</v>
      </c>
      <c r="BA117" s="25">
        <v>0.21049287747773748</v>
      </c>
      <c r="BB117" s="25">
        <v>0</v>
      </c>
      <c r="BC117" s="25">
        <v>20</v>
      </c>
      <c r="BD117" s="25">
        <v>22.419999999999998</v>
      </c>
      <c r="BZ117">
        <v>0.81327800829875518</v>
      </c>
      <c r="CA117">
        <v>1</v>
      </c>
      <c r="CB117">
        <v>0.81327800829875518</v>
      </c>
    </row>
    <row r="118" spans="52:80" x14ac:dyDescent="0.25">
      <c r="AZ118" s="25">
        <v>115</v>
      </c>
      <c r="BA118" s="25">
        <v>0.21049287747773748</v>
      </c>
      <c r="BB118" s="25">
        <v>0</v>
      </c>
      <c r="BC118" s="25">
        <v>20</v>
      </c>
      <c r="BD118" s="25">
        <v>22.616666666666667</v>
      </c>
      <c r="BZ118">
        <v>0.81742738589211617</v>
      </c>
      <c r="CA118">
        <v>1</v>
      </c>
      <c r="CB118">
        <v>0.81742738589211617</v>
      </c>
    </row>
    <row r="119" spans="52:80" x14ac:dyDescent="0.25">
      <c r="AZ119" s="25">
        <v>116</v>
      </c>
      <c r="BA119" s="25">
        <v>0.20944246859479526</v>
      </c>
      <c r="BB119" s="25">
        <v>1</v>
      </c>
      <c r="BC119" s="25">
        <v>21</v>
      </c>
      <c r="BD119" s="25">
        <v>22.813333333333333</v>
      </c>
      <c r="BZ119">
        <v>0.82572614107883813</v>
      </c>
      <c r="CA119">
        <v>1</v>
      </c>
      <c r="CB119">
        <v>0.82572614107883813</v>
      </c>
    </row>
    <row r="120" spans="52:80" x14ac:dyDescent="0.25">
      <c r="AZ120" s="25">
        <v>117</v>
      </c>
      <c r="BA120" s="25">
        <v>0.20944246859479526</v>
      </c>
      <c r="BB120" s="25">
        <v>1</v>
      </c>
      <c r="BC120" s="25">
        <v>22</v>
      </c>
      <c r="BD120" s="25">
        <v>23.009999999999998</v>
      </c>
      <c r="BZ120">
        <v>0.8340248962655602</v>
      </c>
      <c r="CA120">
        <v>1</v>
      </c>
      <c r="CB120">
        <v>0.8340248962655602</v>
      </c>
    </row>
    <row r="121" spans="52:80" x14ac:dyDescent="0.25">
      <c r="AZ121" s="25">
        <v>118</v>
      </c>
      <c r="BA121" s="25">
        <v>0.20944246859479526</v>
      </c>
      <c r="BB121" s="25">
        <v>1</v>
      </c>
      <c r="BC121" s="25">
        <v>23</v>
      </c>
      <c r="BD121" s="25">
        <v>23.206666666666667</v>
      </c>
      <c r="BZ121">
        <v>0.83817427385892118</v>
      </c>
      <c r="CA121">
        <v>1</v>
      </c>
      <c r="CB121">
        <v>0.83817427385892118</v>
      </c>
    </row>
    <row r="122" spans="52:80" x14ac:dyDescent="0.25">
      <c r="AZ122" s="25">
        <v>119</v>
      </c>
      <c r="BA122" s="25">
        <v>0.20839591789254663</v>
      </c>
      <c r="BB122" s="25">
        <v>1</v>
      </c>
      <c r="BC122" s="25">
        <v>24</v>
      </c>
      <c r="BD122" s="25">
        <v>23.403333333333332</v>
      </c>
      <c r="BZ122">
        <v>0.84647302904564314</v>
      </c>
      <c r="CA122">
        <v>1</v>
      </c>
      <c r="CB122">
        <v>0.84647302904564314</v>
      </c>
    </row>
    <row r="123" spans="52:80" x14ac:dyDescent="0.25">
      <c r="AZ123" s="25">
        <v>120</v>
      </c>
      <c r="BA123" s="25">
        <v>0.20839591789254663</v>
      </c>
      <c r="BB123" s="25">
        <v>0</v>
      </c>
      <c r="BC123" s="25">
        <v>24</v>
      </c>
      <c r="BD123" s="25">
        <v>23.599999999999998</v>
      </c>
      <c r="BZ123">
        <v>0.85477178423236511</v>
      </c>
      <c r="CA123">
        <v>1</v>
      </c>
      <c r="CB123">
        <v>0.85477178423236511</v>
      </c>
    </row>
    <row r="124" spans="52:80" x14ac:dyDescent="0.25">
      <c r="AZ124" s="24">
        <v>121</v>
      </c>
      <c r="BA124" s="24">
        <v>0.20839591789254663</v>
      </c>
      <c r="BB124" s="24">
        <v>0</v>
      </c>
      <c r="BC124" s="24">
        <v>24</v>
      </c>
      <c r="BD124" s="24">
        <v>23.796666666666667</v>
      </c>
      <c r="BZ124">
        <v>0.87136929460580914</v>
      </c>
      <c r="CA124">
        <v>1</v>
      </c>
      <c r="CB124">
        <v>0.87136929460580914</v>
      </c>
    </row>
    <row r="125" spans="52:80" x14ac:dyDescent="0.25">
      <c r="AZ125" s="24">
        <v>122</v>
      </c>
      <c r="BA125" s="24">
        <v>0.20839591789254663</v>
      </c>
      <c r="BB125" s="24">
        <v>1</v>
      </c>
      <c r="BC125" s="24">
        <v>25</v>
      </c>
      <c r="BD125" s="24">
        <v>23.993333333333332</v>
      </c>
      <c r="BZ125">
        <v>0.8796680497925311</v>
      </c>
      <c r="CA125">
        <v>1</v>
      </c>
      <c r="CB125">
        <v>0.8796680497925311</v>
      </c>
    </row>
    <row r="126" spans="52:80" x14ac:dyDescent="0.25">
      <c r="AZ126" s="24">
        <v>123</v>
      </c>
      <c r="BA126" s="24">
        <v>0.20839591789254663</v>
      </c>
      <c r="BB126" s="24">
        <v>0</v>
      </c>
      <c r="BC126" s="24">
        <v>25</v>
      </c>
      <c r="BD126" s="24">
        <v>24.189999999999998</v>
      </c>
      <c r="BZ126">
        <v>0.88796680497925307</v>
      </c>
      <c r="CA126">
        <v>1</v>
      </c>
      <c r="CB126">
        <v>0.88796680497925307</v>
      </c>
    </row>
    <row r="127" spans="52:80" x14ac:dyDescent="0.25">
      <c r="AZ127" s="24">
        <v>124</v>
      </c>
      <c r="BA127" s="24">
        <v>0.20735322501989456</v>
      </c>
      <c r="BB127" s="24">
        <v>0</v>
      </c>
      <c r="BC127" s="24">
        <v>25</v>
      </c>
      <c r="BD127" s="24">
        <v>24.386666666666667</v>
      </c>
      <c r="BZ127">
        <v>0.89211618257261416</v>
      </c>
      <c r="CA127">
        <v>1</v>
      </c>
      <c r="CB127">
        <v>0.89211618257261416</v>
      </c>
    </row>
    <row r="128" spans="52:80" x14ac:dyDescent="0.25">
      <c r="AZ128" s="24">
        <v>125</v>
      </c>
      <c r="BA128" s="24">
        <v>0.20735322501989456</v>
      </c>
      <c r="BB128" s="24">
        <v>1</v>
      </c>
      <c r="BC128" s="24">
        <v>26</v>
      </c>
      <c r="BD128" s="24">
        <v>24.583333333333332</v>
      </c>
      <c r="BZ128">
        <v>0.9045643153526971</v>
      </c>
      <c r="CA128">
        <v>1</v>
      </c>
      <c r="CB128">
        <v>0.9045643153526971</v>
      </c>
    </row>
    <row r="129" spans="52:80" x14ac:dyDescent="0.25">
      <c r="AZ129" s="24">
        <v>126</v>
      </c>
      <c r="BA129" s="24">
        <v>0.20631438947420566</v>
      </c>
      <c r="BB129" s="24">
        <v>0</v>
      </c>
      <c r="BC129" s="24">
        <v>26</v>
      </c>
      <c r="BD129" s="24">
        <v>24.779999999999998</v>
      </c>
      <c r="BZ129">
        <v>0.90871369294605808</v>
      </c>
      <c r="CA129">
        <v>1</v>
      </c>
      <c r="CB129">
        <v>0.90871369294605808</v>
      </c>
    </row>
    <row r="130" spans="52:80" x14ac:dyDescent="0.25">
      <c r="AZ130" s="24">
        <v>127</v>
      </c>
      <c r="BA130" s="24">
        <v>0.20631438947420566</v>
      </c>
      <c r="BB130" s="24">
        <v>0</v>
      </c>
      <c r="BC130" s="24">
        <v>26</v>
      </c>
      <c r="BD130" s="24">
        <v>24.976666666666667</v>
      </c>
      <c r="BZ130">
        <v>0.91286307053941906</v>
      </c>
      <c r="CA130">
        <v>1</v>
      </c>
      <c r="CB130">
        <v>0.91286307053941906</v>
      </c>
    </row>
    <row r="131" spans="52:80" x14ac:dyDescent="0.25">
      <c r="AZ131" s="24">
        <v>128</v>
      </c>
      <c r="BA131" s="24">
        <v>0.20631438947420566</v>
      </c>
      <c r="BB131" s="24">
        <v>0</v>
      </c>
      <c r="BC131" s="24">
        <v>26</v>
      </c>
      <c r="BD131" s="24">
        <v>25.173333333333332</v>
      </c>
      <c r="BZ131">
        <v>0.91701244813278004</v>
      </c>
      <c r="CA131">
        <v>1</v>
      </c>
      <c r="CB131">
        <v>0.91701244813278004</v>
      </c>
    </row>
    <row r="132" spans="52:80" x14ac:dyDescent="0.25">
      <c r="AZ132" s="24">
        <v>129</v>
      </c>
      <c r="BA132" s="24">
        <v>0.20527941060246108</v>
      </c>
      <c r="BB132" s="24">
        <v>0</v>
      </c>
      <c r="BC132" s="24">
        <v>26</v>
      </c>
      <c r="BD132" s="24">
        <v>25.369999999999997</v>
      </c>
      <c r="BZ132">
        <v>0.92116182572614103</v>
      </c>
      <c r="CA132">
        <v>1</v>
      </c>
      <c r="CB132">
        <v>0.92116182572614103</v>
      </c>
    </row>
    <row r="133" spans="52:80" x14ac:dyDescent="0.25">
      <c r="AZ133" s="24">
        <v>130</v>
      </c>
      <c r="BA133" s="24">
        <v>0.20527941060246108</v>
      </c>
      <c r="BB133" s="24">
        <v>1</v>
      </c>
      <c r="BC133" s="24">
        <v>27</v>
      </c>
      <c r="BD133" s="24">
        <v>25.566666666666666</v>
      </c>
      <c r="BZ133">
        <v>0.92531120331950212</v>
      </c>
      <c r="CA133">
        <v>1</v>
      </c>
      <c r="CB133">
        <v>0.92531120331950212</v>
      </c>
    </row>
    <row r="134" spans="52:80" x14ac:dyDescent="0.25">
      <c r="AZ134" s="24">
        <v>131</v>
      </c>
      <c r="BA134" s="24">
        <v>0.20424828760241162</v>
      </c>
      <c r="BB134" s="24">
        <v>0</v>
      </c>
      <c r="BC134" s="24">
        <v>27</v>
      </c>
      <c r="BD134" s="24">
        <v>25.763333333333332</v>
      </c>
      <c r="BZ134">
        <v>0.93775933609958506</v>
      </c>
      <c r="CA134">
        <v>1</v>
      </c>
      <c r="CB134">
        <v>0.93775933609958506</v>
      </c>
    </row>
    <row r="135" spans="52:80" x14ac:dyDescent="0.25">
      <c r="AZ135" s="24">
        <v>132</v>
      </c>
      <c r="BA135" s="24">
        <v>0.20424828760241162</v>
      </c>
      <c r="BB135" s="24">
        <v>0</v>
      </c>
      <c r="BC135" s="24">
        <v>27</v>
      </c>
      <c r="BD135" s="24">
        <v>25.959999999999997</v>
      </c>
      <c r="BZ135">
        <v>0.94190871369294604</v>
      </c>
      <c r="CA135">
        <v>1</v>
      </c>
      <c r="CB135">
        <v>0.94190871369294604</v>
      </c>
    </row>
    <row r="136" spans="52:80" x14ac:dyDescent="0.25">
      <c r="AZ136" s="24">
        <v>133</v>
      </c>
      <c r="BA136" s="24">
        <v>0.20424828760241162</v>
      </c>
      <c r="BB136" s="24">
        <v>0</v>
      </c>
      <c r="BC136" s="24">
        <v>27</v>
      </c>
      <c r="BD136" s="24">
        <v>26.156666666666666</v>
      </c>
      <c r="BZ136">
        <v>0.950207468879668</v>
      </c>
      <c r="CA136">
        <v>1</v>
      </c>
      <c r="CB136">
        <v>0.950207468879668</v>
      </c>
    </row>
    <row r="137" spans="52:80" x14ac:dyDescent="0.25">
      <c r="AZ137" s="24">
        <v>134</v>
      </c>
      <c r="BA137" s="24">
        <v>0.20322101952373944</v>
      </c>
      <c r="BB137" s="24">
        <v>0</v>
      </c>
      <c r="BC137" s="24">
        <v>27</v>
      </c>
      <c r="BD137" s="24">
        <v>26.353333333333332</v>
      </c>
      <c r="BZ137">
        <v>0.9543568464730291</v>
      </c>
      <c r="CA137">
        <v>1</v>
      </c>
      <c r="CB137">
        <v>0.9543568464730291</v>
      </c>
    </row>
    <row r="138" spans="52:80" x14ac:dyDescent="0.25">
      <c r="AZ138" s="24">
        <v>135</v>
      </c>
      <c r="BA138" s="24">
        <v>0.20322101952373944</v>
      </c>
      <c r="BB138" s="24">
        <v>1</v>
      </c>
      <c r="BC138" s="24">
        <v>28</v>
      </c>
      <c r="BD138" s="24">
        <v>26.549999999999997</v>
      </c>
      <c r="BZ138">
        <v>0.95850622406639008</v>
      </c>
      <c r="CA138">
        <v>1</v>
      </c>
      <c r="CB138">
        <v>0.95850622406639008</v>
      </c>
    </row>
    <row r="139" spans="52:80" x14ac:dyDescent="0.25">
      <c r="AZ139" s="24">
        <v>136</v>
      </c>
      <c r="BA139" s="24">
        <v>0.20219760526922306</v>
      </c>
      <c r="BB139" s="24">
        <v>1</v>
      </c>
      <c r="BC139" s="24">
        <v>29</v>
      </c>
      <c r="BD139" s="24">
        <v>26.746666666666666</v>
      </c>
      <c r="BZ139">
        <v>0.96265560165975106</v>
      </c>
      <c r="CA139">
        <v>1</v>
      </c>
      <c r="CB139">
        <v>0.96265560165975106</v>
      </c>
    </row>
    <row r="140" spans="52:80" x14ac:dyDescent="0.25">
      <c r="AZ140" s="24">
        <v>137</v>
      </c>
      <c r="BA140" s="24">
        <v>0.20117804359590838</v>
      </c>
      <c r="BB140" s="24">
        <v>0</v>
      </c>
      <c r="BC140" s="24">
        <v>29</v>
      </c>
      <c r="BD140" s="24">
        <v>26.943333333333332</v>
      </c>
      <c r="BZ140">
        <v>0.975103734439834</v>
      </c>
      <c r="CA140">
        <v>1</v>
      </c>
      <c r="CB140">
        <v>0.975103734439834</v>
      </c>
    </row>
    <row r="141" spans="52:80" x14ac:dyDescent="0.25">
      <c r="AZ141" s="24">
        <v>138</v>
      </c>
      <c r="BA141" s="24">
        <v>0.20117804359590838</v>
      </c>
      <c r="BB141" s="24">
        <v>1</v>
      </c>
      <c r="BC141" s="24">
        <v>30</v>
      </c>
      <c r="BD141" s="24">
        <v>27.139999999999997</v>
      </c>
      <c r="BZ141">
        <v>0.97925311203319498</v>
      </c>
      <c r="CA141">
        <v>1</v>
      </c>
      <c r="CB141">
        <v>0.97925311203319498</v>
      </c>
    </row>
    <row r="142" spans="52:80" x14ac:dyDescent="0.25">
      <c r="AZ142" s="24">
        <v>139</v>
      </c>
      <c r="BA142" s="24">
        <v>0.20117804359590838</v>
      </c>
      <c r="BB142" s="24">
        <v>1</v>
      </c>
      <c r="BC142" s="24">
        <v>31</v>
      </c>
      <c r="BD142" s="24">
        <v>27.336666666666666</v>
      </c>
      <c r="BZ142">
        <v>0.98340248962655596</v>
      </c>
      <c r="CA142">
        <v>1</v>
      </c>
      <c r="CB142">
        <v>0.98340248962655596</v>
      </c>
    </row>
    <row r="143" spans="52:80" x14ac:dyDescent="0.25">
      <c r="AZ143" s="24">
        <v>140</v>
      </c>
      <c r="BA143" s="24">
        <v>0.20117804359590838</v>
      </c>
      <c r="BB143" s="24">
        <v>0</v>
      </c>
      <c r="BC143" s="24">
        <v>31</v>
      </c>
      <c r="BD143" s="24">
        <v>27.533333333333331</v>
      </c>
      <c r="BZ143">
        <v>0.98755186721991706</v>
      </c>
      <c r="CA143">
        <v>1</v>
      </c>
      <c r="CB143">
        <v>0.98755186721991706</v>
      </c>
    </row>
    <row r="144" spans="52:80" x14ac:dyDescent="0.25">
      <c r="AZ144" s="24">
        <v>141</v>
      </c>
      <c r="BA144" s="24">
        <v>0.20016233311628359</v>
      </c>
      <c r="BB144" s="24">
        <v>0</v>
      </c>
      <c r="BC144" s="24">
        <v>31</v>
      </c>
      <c r="BD144" s="24">
        <v>27.729999999999997</v>
      </c>
      <c r="BZ144">
        <v>0.99170124481327804</v>
      </c>
      <c r="CA144">
        <v>1</v>
      </c>
      <c r="CB144">
        <v>0.99170124481327804</v>
      </c>
    </row>
    <row r="145" spans="52:80" x14ac:dyDescent="0.25">
      <c r="AZ145" s="24">
        <v>142</v>
      </c>
      <c r="BA145" s="24">
        <v>0.20016233311628359</v>
      </c>
      <c r="BB145" s="24">
        <v>0</v>
      </c>
      <c r="BC145" s="24">
        <v>31</v>
      </c>
      <c r="BD145" s="24">
        <v>27.926666666666666</v>
      </c>
      <c r="BZ145">
        <v>0.99585062240663902</v>
      </c>
      <c r="CA145">
        <v>1</v>
      </c>
      <c r="CB145">
        <v>0.99585062240663902</v>
      </c>
    </row>
    <row r="146" spans="52:80" x14ac:dyDescent="0.25">
      <c r="AZ146" s="24">
        <v>143</v>
      </c>
      <c r="BA146" s="24">
        <v>0.20016233311628354</v>
      </c>
      <c r="BB146" s="24">
        <v>1</v>
      </c>
      <c r="BC146" s="24">
        <v>32</v>
      </c>
      <c r="BD146" s="24">
        <v>28.123333333333331</v>
      </c>
      <c r="BZ146">
        <v>1</v>
      </c>
      <c r="CA146">
        <v>1</v>
      </c>
      <c r="CB146">
        <v>1</v>
      </c>
    </row>
    <row r="147" spans="52:80" x14ac:dyDescent="0.25">
      <c r="AZ147" s="24">
        <v>144</v>
      </c>
      <c r="BA147" s="24">
        <v>0.1991504722994584</v>
      </c>
      <c r="BB147" s="24">
        <v>0</v>
      </c>
      <c r="BC147" s="24">
        <v>32</v>
      </c>
      <c r="BD147" s="24">
        <v>28.32</v>
      </c>
    </row>
    <row r="148" spans="52:80" x14ac:dyDescent="0.25">
      <c r="AZ148" s="24">
        <v>145</v>
      </c>
      <c r="BA148" s="24">
        <v>0.1991504722994584</v>
      </c>
      <c r="BB148" s="24">
        <v>0</v>
      </c>
      <c r="BC148" s="24">
        <v>32</v>
      </c>
      <c r="BD148" s="24">
        <v>28.516666666666666</v>
      </c>
    </row>
    <row r="149" spans="52:80" x14ac:dyDescent="0.25">
      <c r="AZ149" s="24">
        <v>146</v>
      </c>
      <c r="BA149" s="24">
        <v>0.1991504722994584</v>
      </c>
      <c r="BB149" s="24">
        <v>1</v>
      </c>
      <c r="BC149" s="24">
        <v>33</v>
      </c>
      <c r="BD149" s="24">
        <v>28.713333333333331</v>
      </c>
    </row>
    <row r="150" spans="52:80" x14ac:dyDescent="0.25">
      <c r="AZ150" s="24">
        <v>147</v>
      </c>
      <c r="BA150" s="24">
        <v>0.1991504722994584</v>
      </c>
      <c r="BB150" s="24">
        <v>0</v>
      </c>
      <c r="BC150" s="24">
        <v>33</v>
      </c>
      <c r="BD150" s="24">
        <v>28.91</v>
      </c>
    </row>
    <row r="151" spans="52:80" x14ac:dyDescent="0.25">
      <c r="AZ151" s="24">
        <v>148</v>
      </c>
      <c r="BA151" s="24">
        <v>0.19713829282085699</v>
      </c>
      <c r="BB151" s="24">
        <v>1</v>
      </c>
      <c r="BC151" s="24">
        <v>34</v>
      </c>
      <c r="BD151" s="24">
        <v>29.106666666666666</v>
      </c>
    </row>
    <row r="152" spans="52:80" x14ac:dyDescent="0.25">
      <c r="AZ152" s="24">
        <v>149</v>
      </c>
      <c r="BA152" s="24">
        <v>0.19613797039107678</v>
      </c>
      <c r="BB152" s="24">
        <v>0</v>
      </c>
      <c r="BC152" s="24">
        <v>34</v>
      </c>
      <c r="BD152" s="24">
        <v>29.303333333333331</v>
      </c>
    </row>
    <row r="153" spans="52:80" x14ac:dyDescent="0.25">
      <c r="AZ153" s="24">
        <v>150</v>
      </c>
      <c r="BA153" s="24">
        <v>0.19613797039107678</v>
      </c>
      <c r="BB153" s="24">
        <v>0</v>
      </c>
      <c r="BC153" s="24">
        <v>34</v>
      </c>
      <c r="BD153" s="24">
        <v>29.5</v>
      </c>
    </row>
    <row r="154" spans="52:80" x14ac:dyDescent="0.25">
      <c r="AZ154" s="25">
        <v>151</v>
      </c>
      <c r="BA154" s="25">
        <v>0.19613797039107678</v>
      </c>
      <c r="BB154" s="25">
        <v>0</v>
      </c>
      <c r="BC154" s="25">
        <v>34</v>
      </c>
      <c r="BD154" s="25">
        <v>29.696666666666665</v>
      </c>
    </row>
    <row r="155" spans="52:80" x14ac:dyDescent="0.25">
      <c r="AZ155" s="25">
        <v>152</v>
      </c>
      <c r="BA155" s="25">
        <v>0.19613797039107678</v>
      </c>
      <c r="BB155" s="25">
        <v>0</v>
      </c>
      <c r="BC155" s="25">
        <v>34</v>
      </c>
      <c r="BD155" s="25">
        <v>29.893333333333331</v>
      </c>
    </row>
    <row r="156" spans="52:80" x14ac:dyDescent="0.25">
      <c r="AZ156" s="25">
        <v>153</v>
      </c>
      <c r="BA156" s="25">
        <v>0.19613797039107672</v>
      </c>
      <c r="BB156" s="25">
        <v>1</v>
      </c>
      <c r="BC156" s="25">
        <v>35</v>
      </c>
      <c r="BD156" s="25">
        <v>30.09</v>
      </c>
    </row>
    <row r="157" spans="52:80" x14ac:dyDescent="0.25">
      <c r="AZ157" s="25">
        <v>154</v>
      </c>
      <c r="BA157" s="25">
        <v>0.19613797039107672</v>
      </c>
      <c r="BB157" s="25">
        <v>1</v>
      </c>
      <c r="BC157" s="25">
        <v>36</v>
      </c>
      <c r="BD157" s="25">
        <v>30.286666666666665</v>
      </c>
    </row>
    <row r="158" spans="52:80" x14ac:dyDescent="0.25">
      <c r="AZ158" s="25">
        <v>155</v>
      </c>
      <c r="BA158" s="25">
        <v>0.1951414900904731</v>
      </c>
      <c r="BB158" s="25">
        <v>0</v>
      </c>
      <c r="BC158" s="25">
        <v>36</v>
      </c>
      <c r="BD158" s="25">
        <v>30.483333333333331</v>
      </c>
    </row>
    <row r="159" spans="52:80" x14ac:dyDescent="0.25">
      <c r="AZ159" s="25">
        <v>156</v>
      </c>
      <c r="BA159" s="25">
        <v>0.1951414900904731</v>
      </c>
      <c r="BB159" s="25">
        <v>1</v>
      </c>
      <c r="BC159" s="25">
        <v>37</v>
      </c>
      <c r="BD159" s="25">
        <v>30.68</v>
      </c>
    </row>
    <row r="160" spans="52:80" x14ac:dyDescent="0.25">
      <c r="AZ160" s="25">
        <v>157</v>
      </c>
      <c r="BA160" s="25">
        <v>0.19414884968908719</v>
      </c>
      <c r="BB160" s="25">
        <v>0</v>
      </c>
      <c r="BC160" s="25">
        <v>37</v>
      </c>
      <c r="BD160" s="25">
        <v>30.876666666666665</v>
      </c>
    </row>
    <row r="161" spans="52:56" x14ac:dyDescent="0.25">
      <c r="AZ161" s="25">
        <v>158</v>
      </c>
      <c r="BA161" s="25">
        <v>0.19316004682073504</v>
      </c>
      <c r="BB161" s="25">
        <v>1</v>
      </c>
      <c r="BC161" s="25">
        <v>38</v>
      </c>
      <c r="BD161" s="25">
        <v>31.073333333333331</v>
      </c>
    </row>
    <row r="162" spans="52:56" x14ac:dyDescent="0.25">
      <c r="AZ162" s="25">
        <v>159</v>
      </c>
      <c r="BA162" s="25">
        <v>0.19316004682073495</v>
      </c>
      <c r="BB162" s="25">
        <v>0</v>
      </c>
      <c r="BC162" s="25">
        <v>38</v>
      </c>
      <c r="BD162" s="25">
        <v>31.27</v>
      </c>
    </row>
    <row r="163" spans="52:56" x14ac:dyDescent="0.25">
      <c r="AZ163" s="25">
        <v>160</v>
      </c>
      <c r="BA163" s="25">
        <v>0.19316004682073495</v>
      </c>
      <c r="BB163" s="25">
        <v>0</v>
      </c>
      <c r="BC163" s="25">
        <v>38</v>
      </c>
      <c r="BD163" s="25">
        <v>31.466666666666665</v>
      </c>
    </row>
    <row r="164" spans="52:56" x14ac:dyDescent="0.25">
      <c r="AZ164" s="25">
        <v>161</v>
      </c>
      <c r="BA164" s="25">
        <v>0.19217507898421096</v>
      </c>
      <c r="BB164" s="25">
        <v>1</v>
      </c>
      <c r="BC164" s="25">
        <v>39</v>
      </c>
      <c r="BD164" s="25">
        <v>31.66333333333333</v>
      </c>
    </row>
    <row r="165" spans="52:56" x14ac:dyDescent="0.25">
      <c r="AZ165" s="25">
        <v>162</v>
      </c>
      <c r="BA165" s="25">
        <v>0.19217507898421096</v>
      </c>
      <c r="BB165" s="25">
        <v>0</v>
      </c>
      <c r="BC165" s="25">
        <v>39</v>
      </c>
      <c r="BD165" s="25">
        <v>31.86</v>
      </c>
    </row>
    <row r="166" spans="52:56" x14ac:dyDescent="0.25">
      <c r="AZ166" s="25">
        <v>163</v>
      </c>
      <c r="BA166" s="25">
        <v>0.19217507898421096</v>
      </c>
      <c r="BB166" s="25">
        <v>0</v>
      </c>
      <c r="BC166" s="25">
        <v>39</v>
      </c>
      <c r="BD166" s="25">
        <v>32.056666666666665</v>
      </c>
    </row>
    <row r="167" spans="52:56" x14ac:dyDescent="0.25">
      <c r="AZ167" s="25">
        <v>164</v>
      </c>
      <c r="BA167" s="25">
        <v>0.19217507898421096</v>
      </c>
      <c r="BB167" s="25">
        <v>0</v>
      </c>
      <c r="BC167" s="25">
        <v>39</v>
      </c>
      <c r="BD167" s="25">
        <v>32.25333333333333</v>
      </c>
    </row>
    <row r="168" spans="52:56" x14ac:dyDescent="0.25">
      <c r="AZ168" s="25">
        <v>165</v>
      </c>
      <c r="BA168" s="25">
        <v>0.19217507898421096</v>
      </c>
      <c r="BB168" s="25">
        <v>0</v>
      </c>
      <c r="BC168" s="25">
        <v>39</v>
      </c>
      <c r="BD168" s="25">
        <v>32.449999999999996</v>
      </c>
    </row>
    <row r="169" spans="52:56" x14ac:dyDescent="0.25">
      <c r="AZ169" s="25">
        <v>166</v>
      </c>
      <c r="BA169" s="25">
        <v>0.19119394354449384</v>
      </c>
      <c r="BB169" s="25">
        <v>0</v>
      </c>
      <c r="BC169" s="25">
        <v>39</v>
      </c>
      <c r="BD169" s="25">
        <v>32.646666666666668</v>
      </c>
    </row>
    <row r="170" spans="52:56" x14ac:dyDescent="0.25">
      <c r="AZ170" s="25">
        <v>167</v>
      </c>
      <c r="BA170" s="25">
        <v>0.19021663773395503</v>
      </c>
      <c r="BB170" s="25">
        <v>0</v>
      </c>
      <c r="BC170" s="25">
        <v>39</v>
      </c>
      <c r="BD170" s="25">
        <v>32.843333333333334</v>
      </c>
    </row>
    <row r="171" spans="52:56" x14ac:dyDescent="0.25">
      <c r="AZ171" s="25">
        <v>168</v>
      </c>
      <c r="BA171" s="25">
        <v>0.19021663773395503</v>
      </c>
      <c r="BB171" s="25">
        <v>1</v>
      </c>
      <c r="BC171" s="25">
        <v>40</v>
      </c>
      <c r="BD171" s="25">
        <v>33.04</v>
      </c>
    </row>
    <row r="172" spans="52:56" x14ac:dyDescent="0.25">
      <c r="AZ172" s="25">
        <v>169</v>
      </c>
      <c r="BA172" s="25">
        <v>0.19021663773395503</v>
      </c>
      <c r="BB172" s="25">
        <v>0</v>
      </c>
      <c r="BC172" s="25">
        <v>40</v>
      </c>
      <c r="BD172" s="25">
        <v>33.236666666666665</v>
      </c>
    </row>
    <row r="173" spans="52:56" x14ac:dyDescent="0.25">
      <c r="AZ173" s="25">
        <v>170</v>
      </c>
      <c r="BA173" s="25">
        <v>0.19021663773395503</v>
      </c>
      <c r="BB173" s="25">
        <v>0</v>
      </c>
      <c r="BC173" s="25">
        <v>40</v>
      </c>
      <c r="BD173" s="25">
        <v>33.43333333333333</v>
      </c>
    </row>
    <row r="174" spans="52:56" x14ac:dyDescent="0.25">
      <c r="AZ174" s="25">
        <v>171</v>
      </c>
      <c r="BA174" s="25">
        <v>0.18924315865356914</v>
      </c>
      <c r="BB174" s="25">
        <v>1</v>
      </c>
      <c r="BC174" s="25">
        <v>41</v>
      </c>
      <c r="BD174" s="25">
        <v>33.629999999999995</v>
      </c>
    </row>
    <row r="175" spans="52:56" x14ac:dyDescent="0.25">
      <c r="AZ175" s="25">
        <v>172</v>
      </c>
      <c r="BA175" s="25">
        <v>0.18924315865356911</v>
      </c>
      <c r="BB175" s="25">
        <v>0</v>
      </c>
      <c r="BC175" s="25">
        <v>41</v>
      </c>
      <c r="BD175" s="25">
        <v>33.826666666666668</v>
      </c>
    </row>
    <row r="176" spans="52:56" x14ac:dyDescent="0.25">
      <c r="AZ176" s="25">
        <v>173</v>
      </c>
      <c r="BA176" s="25">
        <v>0.18924315865356911</v>
      </c>
      <c r="BB176" s="25">
        <v>0</v>
      </c>
      <c r="BC176" s="25">
        <v>41</v>
      </c>
      <c r="BD176" s="25">
        <v>34.023333333333333</v>
      </c>
    </row>
    <row r="177" spans="52:56" x14ac:dyDescent="0.25">
      <c r="AZ177" s="25">
        <v>174</v>
      </c>
      <c r="BA177" s="25">
        <v>0.18827350327412662</v>
      </c>
      <c r="BB177" s="25">
        <v>1</v>
      </c>
      <c r="BC177" s="25">
        <v>42</v>
      </c>
      <c r="BD177" s="25">
        <v>34.22</v>
      </c>
    </row>
    <row r="178" spans="52:56" x14ac:dyDescent="0.25">
      <c r="AZ178" s="25">
        <v>175</v>
      </c>
      <c r="BA178" s="25">
        <v>0.18827350327412662</v>
      </c>
      <c r="BB178" s="25">
        <v>0</v>
      </c>
      <c r="BC178" s="25">
        <v>42</v>
      </c>
      <c r="BD178" s="25">
        <v>34.416666666666664</v>
      </c>
    </row>
    <row r="179" spans="52:56" x14ac:dyDescent="0.25">
      <c r="AZ179" s="25">
        <v>176</v>
      </c>
      <c r="BA179" s="25">
        <v>0.18827350327412662</v>
      </c>
      <c r="BB179" s="25">
        <v>0</v>
      </c>
      <c r="BC179" s="25">
        <v>42</v>
      </c>
      <c r="BD179" s="25">
        <v>34.61333333333333</v>
      </c>
    </row>
    <row r="180" spans="52:56" x14ac:dyDescent="0.25">
      <c r="AZ180" s="25">
        <v>177</v>
      </c>
      <c r="BA180" s="25">
        <v>0.18730766843744823</v>
      </c>
      <c r="BB180" s="25">
        <v>1</v>
      </c>
      <c r="BC180" s="25">
        <v>43</v>
      </c>
      <c r="BD180" s="25">
        <v>34.809999999999995</v>
      </c>
    </row>
    <row r="181" spans="52:56" x14ac:dyDescent="0.25">
      <c r="AZ181" s="25">
        <v>178</v>
      </c>
      <c r="BA181" s="25">
        <v>0.18730766843744823</v>
      </c>
      <c r="BB181" s="25">
        <v>0</v>
      </c>
      <c r="BC181" s="25">
        <v>43</v>
      </c>
      <c r="BD181" s="25">
        <v>35.006666666666668</v>
      </c>
    </row>
    <row r="182" spans="52:56" x14ac:dyDescent="0.25">
      <c r="AZ182" s="25">
        <v>179</v>
      </c>
      <c r="BA182" s="25">
        <v>0.18634565085760132</v>
      </c>
      <c r="BB182" s="25">
        <v>1</v>
      </c>
      <c r="BC182" s="25">
        <v>44</v>
      </c>
      <c r="BD182" s="25">
        <v>35.203333333333333</v>
      </c>
    </row>
    <row r="183" spans="52:56" x14ac:dyDescent="0.25">
      <c r="AZ183" s="25">
        <v>180</v>
      </c>
      <c r="BA183" s="25">
        <v>0.18634565085760132</v>
      </c>
      <c r="BB183" s="25">
        <v>1</v>
      </c>
      <c r="BC183" s="25">
        <v>45</v>
      </c>
      <c r="BD183" s="25">
        <v>35.4</v>
      </c>
    </row>
    <row r="184" spans="52:56" x14ac:dyDescent="0.25">
      <c r="AZ184" s="24">
        <v>181</v>
      </c>
      <c r="BA184" s="24">
        <v>0.18538744712211713</v>
      </c>
      <c r="BB184" s="24">
        <v>1</v>
      </c>
      <c r="BC184" s="24">
        <v>46</v>
      </c>
      <c r="BD184" s="24">
        <v>35.596666666666664</v>
      </c>
    </row>
    <row r="185" spans="52:56" x14ac:dyDescent="0.25">
      <c r="AZ185" s="24">
        <v>182</v>
      </c>
      <c r="BA185" s="24">
        <v>0.18538744712211713</v>
      </c>
      <c r="BB185" s="24">
        <v>1</v>
      </c>
      <c r="BC185" s="24">
        <v>47</v>
      </c>
      <c r="BD185" s="24">
        <v>35.793333333333329</v>
      </c>
    </row>
    <row r="186" spans="52:56" x14ac:dyDescent="0.25">
      <c r="AZ186" s="24">
        <v>183</v>
      </c>
      <c r="BA186" s="24">
        <v>0.18538744712211713</v>
      </c>
      <c r="BB186" s="24">
        <v>1</v>
      </c>
      <c r="BC186" s="24">
        <v>48</v>
      </c>
      <c r="BD186" s="24">
        <v>35.989999999999995</v>
      </c>
    </row>
    <row r="187" spans="52:56" x14ac:dyDescent="0.25">
      <c r="AZ187" s="24">
        <v>184</v>
      </c>
      <c r="BA187" s="24">
        <v>0.18538744712211713</v>
      </c>
      <c r="BB187" s="24">
        <v>1</v>
      </c>
      <c r="BC187" s="24">
        <v>49</v>
      </c>
      <c r="BD187" s="24">
        <v>36.186666666666667</v>
      </c>
    </row>
    <row r="188" spans="52:56" x14ac:dyDescent="0.25">
      <c r="AZ188" s="24">
        <v>185</v>
      </c>
      <c r="BA188" s="24">
        <v>0.18538744712211708</v>
      </c>
      <c r="BB188" s="24">
        <v>0</v>
      </c>
      <c r="BC188" s="24">
        <v>49</v>
      </c>
      <c r="BD188" s="24">
        <v>36.383333333333333</v>
      </c>
    </row>
    <row r="189" spans="52:56" x14ac:dyDescent="0.25">
      <c r="AZ189" s="24">
        <v>186</v>
      </c>
      <c r="BA189" s="24">
        <v>0.18538744712211708</v>
      </c>
      <c r="BB189" s="24">
        <v>0</v>
      </c>
      <c r="BC189" s="24">
        <v>49</v>
      </c>
      <c r="BD189" s="24">
        <v>36.58</v>
      </c>
    </row>
    <row r="190" spans="52:56" x14ac:dyDescent="0.25">
      <c r="AZ190" s="24">
        <v>187</v>
      </c>
      <c r="BA190" s="24">
        <v>0.1844330536932097</v>
      </c>
      <c r="BB190" s="24">
        <v>0</v>
      </c>
      <c r="BC190" s="24">
        <v>49</v>
      </c>
      <c r="BD190" s="24">
        <v>36.776666666666664</v>
      </c>
    </row>
    <row r="191" spans="52:56" x14ac:dyDescent="0.25">
      <c r="AZ191" s="24">
        <v>188</v>
      </c>
      <c r="BA191" s="24">
        <v>0.1844330536932097</v>
      </c>
      <c r="BB191" s="24">
        <v>0</v>
      </c>
      <c r="BC191" s="24">
        <v>49</v>
      </c>
      <c r="BD191" s="24">
        <v>36.973333333333329</v>
      </c>
    </row>
    <row r="192" spans="52:56" x14ac:dyDescent="0.25">
      <c r="AZ192" s="24">
        <v>189</v>
      </c>
      <c r="BA192" s="24">
        <v>0.1844330536932097</v>
      </c>
      <c r="BB192" s="24">
        <v>1</v>
      </c>
      <c r="BC192" s="24">
        <v>50</v>
      </c>
      <c r="BD192" s="24">
        <v>37.169999999999995</v>
      </c>
    </row>
    <row r="193" spans="52:56" x14ac:dyDescent="0.25">
      <c r="AZ193" s="24">
        <v>190</v>
      </c>
      <c r="BA193" s="24">
        <v>0.1844330536932097</v>
      </c>
      <c r="BB193" s="24">
        <v>1</v>
      </c>
      <c r="BC193" s="24">
        <v>51</v>
      </c>
      <c r="BD193" s="24">
        <v>37.366666666666667</v>
      </c>
    </row>
    <row r="194" spans="52:56" x14ac:dyDescent="0.25">
      <c r="AZ194" s="24">
        <v>191</v>
      </c>
      <c r="BA194" s="24">
        <v>0.18253568298471734</v>
      </c>
      <c r="BB194" s="24">
        <v>1</v>
      </c>
      <c r="BC194" s="24">
        <v>52</v>
      </c>
      <c r="BD194" s="24">
        <v>37.563333333333333</v>
      </c>
    </row>
    <row r="195" spans="52:56" x14ac:dyDescent="0.25">
      <c r="AZ195" s="24">
        <v>192</v>
      </c>
      <c r="BA195" s="24">
        <v>0.18253568298471734</v>
      </c>
      <c r="BB195" s="24">
        <v>1</v>
      </c>
      <c r="BC195" s="24">
        <v>53</v>
      </c>
      <c r="BD195" s="24">
        <v>37.76</v>
      </c>
    </row>
    <row r="196" spans="52:56" x14ac:dyDescent="0.25">
      <c r="AZ196" s="24">
        <v>193</v>
      </c>
      <c r="BA196" s="24">
        <v>0.18159269801395919</v>
      </c>
      <c r="BB196" s="24">
        <v>0</v>
      </c>
      <c r="BC196" s="24">
        <v>53</v>
      </c>
      <c r="BD196" s="24">
        <v>37.956666666666663</v>
      </c>
    </row>
    <row r="197" spans="52:56" x14ac:dyDescent="0.25">
      <c r="AZ197" s="24">
        <v>194</v>
      </c>
      <c r="BA197" s="24">
        <v>0.18065350796987542</v>
      </c>
      <c r="BB197" s="24">
        <v>1</v>
      </c>
      <c r="BC197" s="24">
        <v>54</v>
      </c>
      <c r="BD197" s="24">
        <v>38.153333333333329</v>
      </c>
    </row>
    <row r="198" spans="52:56" x14ac:dyDescent="0.25">
      <c r="AZ198" s="24">
        <v>195</v>
      </c>
      <c r="BA198" s="24">
        <v>0.1797181087064097</v>
      </c>
      <c r="BB198" s="24">
        <v>0</v>
      </c>
      <c r="BC198" s="24">
        <v>54</v>
      </c>
      <c r="BD198" s="24">
        <v>38.35</v>
      </c>
    </row>
    <row r="199" spans="52:56" x14ac:dyDescent="0.25">
      <c r="AZ199" s="24">
        <v>196</v>
      </c>
      <c r="BA199" s="24">
        <v>0.17878649595951862</v>
      </c>
      <c r="BB199" s="24">
        <v>0</v>
      </c>
      <c r="BC199" s="24">
        <v>54</v>
      </c>
      <c r="BD199" s="24">
        <v>38.546666666666667</v>
      </c>
    </row>
    <row r="200" spans="52:56" x14ac:dyDescent="0.25">
      <c r="AZ200" s="24">
        <v>197</v>
      </c>
      <c r="BA200" s="24">
        <v>0.17785866534839434</v>
      </c>
      <c r="BB200" s="24">
        <v>0</v>
      </c>
      <c r="BC200" s="24">
        <v>54</v>
      </c>
      <c r="BD200" s="24">
        <v>38.743333333333332</v>
      </c>
    </row>
    <row r="201" spans="52:56" x14ac:dyDescent="0.25">
      <c r="AZ201" s="24">
        <v>198</v>
      </c>
      <c r="BA201" s="24">
        <v>0.17785866534839434</v>
      </c>
      <c r="BB201" s="24">
        <v>0</v>
      </c>
      <c r="BC201" s="24">
        <v>54</v>
      </c>
      <c r="BD201" s="24">
        <v>38.94</v>
      </c>
    </row>
    <row r="202" spans="52:56" x14ac:dyDescent="0.25">
      <c r="AZ202" s="24">
        <v>199</v>
      </c>
      <c r="BA202" s="24">
        <v>0.17785866534839434</v>
      </c>
      <c r="BB202" s="24">
        <v>0</v>
      </c>
      <c r="BC202" s="24">
        <v>54</v>
      </c>
      <c r="BD202" s="24">
        <v>39.136666666666663</v>
      </c>
    </row>
    <row r="203" spans="52:56" x14ac:dyDescent="0.25">
      <c r="AZ203" s="24">
        <v>200</v>
      </c>
      <c r="BA203" s="24">
        <v>0.17693461237668723</v>
      </c>
      <c r="BB203" s="24">
        <v>0</v>
      </c>
      <c r="BC203" s="24">
        <v>54</v>
      </c>
      <c r="BD203" s="24">
        <v>39.333333333333329</v>
      </c>
    </row>
    <row r="204" spans="52:56" x14ac:dyDescent="0.25">
      <c r="AZ204" s="24">
        <v>201</v>
      </c>
      <c r="BA204" s="24">
        <v>0.17693461237668723</v>
      </c>
      <c r="BB204" s="24">
        <v>0</v>
      </c>
      <c r="BC204" s="24">
        <v>54</v>
      </c>
      <c r="BD204" s="24">
        <v>39.53</v>
      </c>
    </row>
    <row r="205" spans="52:56" x14ac:dyDescent="0.25">
      <c r="AZ205" s="24">
        <v>202</v>
      </c>
      <c r="BA205" s="24">
        <v>0.17601433243372858</v>
      </c>
      <c r="BB205" s="24">
        <v>0</v>
      </c>
      <c r="BC205" s="24">
        <v>54</v>
      </c>
      <c r="BD205" s="24">
        <v>39.726666666666667</v>
      </c>
    </row>
    <row r="206" spans="52:56" x14ac:dyDescent="0.25">
      <c r="AZ206" s="24">
        <v>203</v>
      </c>
      <c r="BA206" s="24">
        <v>0.17601433243372858</v>
      </c>
      <c r="BB206" s="24">
        <v>0</v>
      </c>
      <c r="BC206" s="24">
        <v>54</v>
      </c>
      <c r="BD206" s="24">
        <v>39.923333333333332</v>
      </c>
    </row>
    <row r="207" spans="52:56" x14ac:dyDescent="0.25">
      <c r="AZ207" s="24">
        <v>204</v>
      </c>
      <c r="BA207" s="24">
        <v>0.17601433243372858</v>
      </c>
      <c r="BB207" s="24">
        <v>0</v>
      </c>
      <c r="BC207" s="24">
        <v>54</v>
      </c>
      <c r="BD207" s="24">
        <v>40.119999999999997</v>
      </c>
    </row>
    <row r="208" spans="52:56" x14ac:dyDescent="0.25">
      <c r="AZ208" s="24">
        <v>205</v>
      </c>
      <c r="BA208" s="24">
        <v>0.17601433243372855</v>
      </c>
      <c r="BB208" s="24">
        <v>1</v>
      </c>
      <c r="BC208" s="24">
        <v>55</v>
      </c>
      <c r="BD208" s="24">
        <v>40.316666666666663</v>
      </c>
    </row>
    <row r="209" spans="52:56" x14ac:dyDescent="0.25">
      <c r="AZ209" s="24">
        <v>206</v>
      </c>
      <c r="BA209" s="24">
        <v>0.17509782079575215</v>
      </c>
      <c r="BB209" s="24">
        <v>0</v>
      </c>
      <c r="BC209" s="24">
        <v>55</v>
      </c>
      <c r="BD209" s="24">
        <v>40.513333333333328</v>
      </c>
    </row>
    <row r="210" spans="52:56" x14ac:dyDescent="0.25">
      <c r="AZ210" s="24">
        <v>207</v>
      </c>
      <c r="BA210" s="24">
        <v>0.17509782079575215</v>
      </c>
      <c r="BB210" s="24">
        <v>0</v>
      </c>
      <c r="BC210" s="24">
        <v>55</v>
      </c>
      <c r="BD210" s="24">
        <v>40.71</v>
      </c>
    </row>
    <row r="211" spans="52:56" x14ac:dyDescent="0.25">
      <c r="AZ211" s="24">
        <v>208</v>
      </c>
      <c r="BA211" s="24">
        <v>0.17418507262711561</v>
      </c>
      <c r="BB211" s="24">
        <v>0</v>
      </c>
      <c r="BC211" s="24">
        <v>55</v>
      </c>
      <c r="BD211" s="24">
        <v>40.906666666666666</v>
      </c>
    </row>
    <row r="212" spans="52:56" x14ac:dyDescent="0.25">
      <c r="AZ212" s="24">
        <v>209</v>
      </c>
      <c r="BA212" s="24">
        <v>0.17418507262711561</v>
      </c>
      <c r="BB212" s="24">
        <v>1</v>
      </c>
      <c r="BC212" s="24">
        <v>56</v>
      </c>
      <c r="BD212" s="24">
        <v>41.103333333333332</v>
      </c>
    </row>
    <row r="213" spans="52:56" x14ac:dyDescent="0.25">
      <c r="AZ213" s="24">
        <v>210</v>
      </c>
      <c r="BA213" s="24">
        <v>0.17327608298152103</v>
      </c>
      <c r="BB213" s="24">
        <v>0</v>
      </c>
      <c r="BC213" s="24">
        <v>56</v>
      </c>
      <c r="BD213" s="24">
        <v>41.3</v>
      </c>
    </row>
    <row r="214" spans="52:56" x14ac:dyDescent="0.25">
      <c r="AZ214" s="25">
        <v>211</v>
      </c>
      <c r="BA214" s="25">
        <v>0.17327608298152103</v>
      </c>
      <c r="BB214" s="25">
        <v>0</v>
      </c>
      <c r="BC214" s="25">
        <v>56</v>
      </c>
      <c r="BD214" s="25">
        <v>41.496666666666663</v>
      </c>
    </row>
    <row r="215" spans="52:56" x14ac:dyDescent="0.25">
      <c r="AZ215" s="25">
        <v>212</v>
      </c>
      <c r="BA215" s="25">
        <v>0.17327608298152103</v>
      </c>
      <c r="BB215" s="25">
        <v>0</v>
      </c>
      <c r="BC215" s="25">
        <v>56</v>
      </c>
      <c r="BD215" s="25">
        <v>41.693333333333328</v>
      </c>
    </row>
    <row r="216" spans="52:56" x14ac:dyDescent="0.25">
      <c r="AZ216" s="25">
        <v>213</v>
      </c>
      <c r="BA216" s="25">
        <v>0.17327608298152103</v>
      </c>
      <c r="BB216" s="25">
        <v>0</v>
      </c>
      <c r="BC216" s="25">
        <v>56</v>
      </c>
      <c r="BD216" s="25">
        <v>41.89</v>
      </c>
    </row>
    <row r="217" spans="52:56" x14ac:dyDescent="0.25">
      <c r="AZ217" s="25">
        <v>214</v>
      </c>
      <c r="BA217" s="25">
        <v>0.17237084680323442</v>
      </c>
      <c r="BB217" s="25">
        <v>0</v>
      </c>
      <c r="BC217" s="25">
        <v>56</v>
      </c>
      <c r="BD217" s="25">
        <v>42.086666666666666</v>
      </c>
    </row>
    <row r="218" spans="52:56" x14ac:dyDescent="0.25">
      <c r="AZ218" s="25">
        <v>215</v>
      </c>
      <c r="BA218" s="25">
        <v>0.17237084680323442</v>
      </c>
      <c r="BB218" s="25">
        <v>0</v>
      </c>
      <c r="BC218" s="25">
        <v>56</v>
      </c>
      <c r="BD218" s="25">
        <v>42.283333333333331</v>
      </c>
    </row>
    <row r="219" spans="52:56" x14ac:dyDescent="0.25">
      <c r="AZ219" s="25">
        <v>216</v>
      </c>
      <c r="BA219" s="25">
        <v>0.17146935892830426</v>
      </c>
      <c r="BB219" s="25">
        <v>0</v>
      </c>
      <c r="BC219" s="25">
        <v>56</v>
      </c>
      <c r="BD219" s="25">
        <v>42.48</v>
      </c>
    </row>
    <row r="220" spans="52:56" x14ac:dyDescent="0.25">
      <c r="AZ220" s="25">
        <v>217</v>
      </c>
      <c r="BA220" s="25">
        <v>0.17146935892830426</v>
      </c>
      <c r="BB220" s="25">
        <v>1</v>
      </c>
      <c r="BC220" s="25">
        <v>57</v>
      </c>
      <c r="BD220" s="25">
        <v>42.676666666666662</v>
      </c>
    </row>
    <row r="221" spans="52:56" x14ac:dyDescent="0.25">
      <c r="AZ221" s="25">
        <v>218</v>
      </c>
      <c r="BA221" s="25">
        <v>0.16967760689892111</v>
      </c>
      <c r="BB221" s="25">
        <v>0</v>
      </c>
      <c r="BC221" s="25">
        <v>57</v>
      </c>
      <c r="BD221" s="25">
        <v>42.873333333333328</v>
      </c>
    </row>
    <row r="222" spans="52:56" x14ac:dyDescent="0.25">
      <c r="AZ222" s="25">
        <v>219</v>
      </c>
      <c r="BA222" s="25">
        <v>0.16967760689892111</v>
      </c>
      <c r="BB222" s="25">
        <v>0</v>
      </c>
      <c r="BC222" s="25">
        <v>57</v>
      </c>
      <c r="BD222" s="25">
        <v>43.07</v>
      </c>
    </row>
    <row r="223" spans="52:56" x14ac:dyDescent="0.25">
      <c r="AZ223" s="25">
        <v>220</v>
      </c>
      <c r="BA223" s="25">
        <v>0.16967760689892111</v>
      </c>
      <c r="BB223" s="25">
        <v>0</v>
      </c>
      <c r="BC223" s="25">
        <v>57</v>
      </c>
      <c r="BD223" s="25">
        <v>43.266666666666666</v>
      </c>
    </row>
    <row r="224" spans="52:56" x14ac:dyDescent="0.25">
      <c r="AZ224" s="25">
        <v>221</v>
      </c>
      <c r="BA224" s="25">
        <v>0.16967760689892111</v>
      </c>
      <c r="BB224" s="25">
        <v>0</v>
      </c>
      <c r="BC224" s="25">
        <v>57</v>
      </c>
      <c r="BD224" s="25">
        <v>43.463333333333331</v>
      </c>
    </row>
    <row r="225" spans="52:56" x14ac:dyDescent="0.25">
      <c r="AZ225" s="25">
        <v>222</v>
      </c>
      <c r="BA225" s="25">
        <v>0.16790078346362572</v>
      </c>
      <c r="BB225" s="25">
        <v>0</v>
      </c>
      <c r="BC225" s="25">
        <v>57</v>
      </c>
      <c r="BD225" s="25">
        <v>43.66</v>
      </c>
    </row>
    <row r="226" spans="52:56" x14ac:dyDescent="0.25">
      <c r="AZ226" s="25">
        <v>223</v>
      </c>
      <c r="BA226" s="25">
        <v>0.16790078346362572</v>
      </c>
      <c r="BB226" s="25">
        <v>0</v>
      </c>
      <c r="BC226" s="25">
        <v>57</v>
      </c>
      <c r="BD226" s="25">
        <v>43.856666666666662</v>
      </c>
    </row>
    <row r="227" spans="52:56" x14ac:dyDescent="0.25">
      <c r="AZ227" s="25">
        <v>224</v>
      </c>
      <c r="BA227" s="25">
        <v>0.16790078346362572</v>
      </c>
      <c r="BB227" s="25">
        <v>0</v>
      </c>
      <c r="BC227" s="25">
        <v>57</v>
      </c>
      <c r="BD227" s="25">
        <v>44.053333333333327</v>
      </c>
    </row>
    <row r="228" spans="52:56" x14ac:dyDescent="0.25">
      <c r="AZ228" s="25">
        <v>225</v>
      </c>
      <c r="BA228" s="25">
        <v>0.16790078346362572</v>
      </c>
      <c r="BB228" s="25">
        <v>0</v>
      </c>
      <c r="BC228" s="25">
        <v>57</v>
      </c>
      <c r="BD228" s="25">
        <v>44.25</v>
      </c>
    </row>
    <row r="229" spans="52:56" x14ac:dyDescent="0.25">
      <c r="AZ229" s="25">
        <v>226</v>
      </c>
      <c r="BA229" s="25">
        <v>0.16790078346362572</v>
      </c>
      <c r="BB229" s="25">
        <v>0</v>
      </c>
      <c r="BC229" s="25">
        <v>57</v>
      </c>
      <c r="BD229" s="25">
        <v>44.446666666666665</v>
      </c>
    </row>
    <row r="230" spans="52:56" x14ac:dyDescent="0.25">
      <c r="AZ230" s="25">
        <v>227</v>
      </c>
      <c r="BA230" s="25">
        <v>0.16790078346362572</v>
      </c>
      <c r="BB230" s="25">
        <v>0</v>
      </c>
      <c r="BC230" s="25">
        <v>57</v>
      </c>
      <c r="BD230" s="25">
        <v>44.643333333333331</v>
      </c>
    </row>
    <row r="231" spans="52:56" x14ac:dyDescent="0.25">
      <c r="AZ231" s="25">
        <v>228</v>
      </c>
      <c r="BA231" s="25">
        <v>0.16613884353893368</v>
      </c>
      <c r="BB231" s="25">
        <v>0</v>
      </c>
      <c r="BC231" s="25">
        <v>57</v>
      </c>
      <c r="BD231" s="25">
        <v>44.839999999999996</v>
      </c>
    </row>
    <row r="232" spans="52:56" x14ac:dyDescent="0.25">
      <c r="AZ232" s="25">
        <v>229</v>
      </c>
      <c r="BA232" s="25">
        <v>0.16613884353893368</v>
      </c>
      <c r="BB232" s="25">
        <v>0</v>
      </c>
      <c r="BC232" s="25">
        <v>57</v>
      </c>
      <c r="BD232" s="25">
        <v>45.036666666666662</v>
      </c>
    </row>
    <row r="233" spans="52:56" x14ac:dyDescent="0.25">
      <c r="AZ233" s="25">
        <v>230</v>
      </c>
      <c r="BA233" s="25">
        <v>0.16613884353893368</v>
      </c>
      <c r="BB233" s="25">
        <v>0</v>
      </c>
      <c r="BC233" s="25">
        <v>57</v>
      </c>
      <c r="BD233" s="25">
        <v>45.233333333333334</v>
      </c>
    </row>
    <row r="234" spans="52:56" x14ac:dyDescent="0.25">
      <c r="AZ234" s="25">
        <v>231</v>
      </c>
      <c r="BA234" s="25">
        <v>0.16526344036180959</v>
      </c>
      <c r="BB234" s="25">
        <v>1</v>
      </c>
      <c r="BC234" s="25">
        <v>58</v>
      </c>
      <c r="BD234" s="25">
        <v>45.43</v>
      </c>
    </row>
    <row r="235" spans="52:56" x14ac:dyDescent="0.25">
      <c r="AZ235" s="25">
        <v>232</v>
      </c>
      <c r="BA235" s="25">
        <v>0.16352373764916295</v>
      </c>
      <c r="BB235" s="25">
        <v>0</v>
      </c>
      <c r="BC235" s="25">
        <v>58</v>
      </c>
      <c r="BD235" s="25">
        <v>45.626666666666665</v>
      </c>
    </row>
    <row r="236" spans="52:56" x14ac:dyDescent="0.25">
      <c r="AZ236" s="25">
        <v>233</v>
      </c>
      <c r="BA236" s="25">
        <v>0.16352373764916295</v>
      </c>
      <c r="BB236" s="25">
        <v>0</v>
      </c>
      <c r="BC236" s="25">
        <v>58</v>
      </c>
      <c r="BD236" s="25">
        <v>45.823333333333331</v>
      </c>
    </row>
    <row r="237" spans="52:56" x14ac:dyDescent="0.25">
      <c r="AZ237" s="25">
        <v>234</v>
      </c>
      <c r="BA237" s="25">
        <v>0.16179879875698946</v>
      </c>
      <c r="BB237" s="25">
        <v>0</v>
      </c>
      <c r="BC237" s="25">
        <v>58</v>
      </c>
      <c r="BD237" s="25">
        <v>46.019999999999996</v>
      </c>
    </row>
    <row r="238" spans="52:56" x14ac:dyDescent="0.25">
      <c r="AZ238" s="25">
        <v>235</v>
      </c>
      <c r="BA238" s="25">
        <v>0.16094184999946912</v>
      </c>
      <c r="BB238" s="25">
        <v>0</v>
      </c>
      <c r="BC238" s="25">
        <v>58</v>
      </c>
      <c r="BD238" s="25">
        <v>46.216666666666661</v>
      </c>
    </row>
    <row r="239" spans="52:56" x14ac:dyDescent="0.25">
      <c r="AZ239" s="25">
        <v>236</v>
      </c>
      <c r="BA239" s="25">
        <v>0.16008857311761521</v>
      </c>
      <c r="BB239" s="25">
        <v>0</v>
      </c>
      <c r="BC239" s="25">
        <v>58</v>
      </c>
      <c r="BD239" s="25">
        <v>46.413333333333334</v>
      </c>
    </row>
    <row r="240" spans="52:56" x14ac:dyDescent="0.25">
      <c r="AZ240" s="25">
        <v>237</v>
      </c>
      <c r="BA240" s="25">
        <v>0.16008857311761521</v>
      </c>
      <c r="BB240" s="25">
        <v>0</v>
      </c>
      <c r="BC240" s="25">
        <v>58</v>
      </c>
      <c r="BD240" s="25">
        <v>46.61</v>
      </c>
    </row>
    <row r="241" spans="52:56" x14ac:dyDescent="0.25">
      <c r="AZ241" s="25">
        <v>238</v>
      </c>
      <c r="BA241" s="25">
        <v>0.15923896155940181</v>
      </c>
      <c r="BB241" s="25">
        <v>0</v>
      </c>
      <c r="BC241" s="25">
        <v>58</v>
      </c>
      <c r="BD241" s="25">
        <v>46.806666666666665</v>
      </c>
    </row>
    <row r="242" spans="52:56" x14ac:dyDescent="0.25">
      <c r="AZ242" s="25">
        <v>239</v>
      </c>
      <c r="BA242" s="25">
        <v>0.15839300868263137</v>
      </c>
      <c r="BB242" s="25">
        <v>0</v>
      </c>
      <c r="BC242" s="25">
        <v>58</v>
      </c>
      <c r="BD242" s="25">
        <v>47.00333333333333</v>
      </c>
    </row>
    <row r="243" spans="52:56" x14ac:dyDescent="0.25">
      <c r="AZ243" s="25">
        <v>240</v>
      </c>
      <c r="BA243" s="25">
        <v>0.15839300868263137</v>
      </c>
      <c r="BB243" s="25">
        <v>0</v>
      </c>
      <c r="BC243" s="25">
        <v>58</v>
      </c>
      <c r="BD243" s="25">
        <v>47.199999999999996</v>
      </c>
    </row>
    <row r="244" spans="52:56" x14ac:dyDescent="0.25">
      <c r="AZ244" s="24">
        <v>241</v>
      </c>
      <c r="BA244" s="24">
        <v>0.15839300868263137</v>
      </c>
      <c r="BB244" s="24">
        <v>0</v>
      </c>
      <c r="BC244" s="24">
        <v>58</v>
      </c>
      <c r="BD244" s="24">
        <v>47.396666666666661</v>
      </c>
    </row>
    <row r="245" spans="52:56" x14ac:dyDescent="0.25">
      <c r="AZ245" s="24">
        <v>242</v>
      </c>
      <c r="BA245" s="24">
        <v>0.15839300868263137</v>
      </c>
      <c r="BB245" s="24">
        <v>1</v>
      </c>
      <c r="BC245" s="24">
        <v>59</v>
      </c>
      <c r="BD245" s="24">
        <v>47.593333333333334</v>
      </c>
    </row>
    <row r="246" spans="52:56" x14ac:dyDescent="0.25">
      <c r="AZ246" s="24">
        <v>243</v>
      </c>
      <c r="BA246" s="24">
        <v>0.15755070775611613</v>
      </c>
      <c r="BB246" s="24">
        <v>0</v>
      </c>
      <c r="BC246" s="24">
        <v>59</v>
      </c>
      <c r="BD246" s="24">
        <v>47.79</v>
      </c>
    </row>
    <row r="247" spans="52:56" x14ac:dyDescent="0.25">
      <c r="AZ247" s="24">
        <v>244</v>
      </c>
      <c r="BA247" s="24">
        <v>0.15671205196085616</v>
      </c>
      <c r="BB247" s="24">
        <v>0</v>
      </c>
      <c r="BC247" s="24">
        <v>59</v>
      </c>
      <c r="BD247" s="24">
        <v>47.986666666666665</v>
      </c>
    </row>
    <row r="248" spans="52:56" x14ac:dyDescent="0.25">
      <c r="AZ248" s="24">
        <v>245</v>
      </c>
      <c r="BA248" s="24">
        <v>0.15671205196085616</v>
      </c>
      <c r="BB248" s="24">
        <v>0</v>
      </c>
      <c r="BC248" s="24">
        <v>59</v>
      </c>
      <c r="BD248" s="24">
        <v>48.18333333333333</v>
      </c>
    </row>
    <row r="249" spans="52:56" x14ac:dyDescent="0.25">
      <c r="AZ249" s="24">
        <v>246</v>
      </c>
      <c r="BA249" s="24">
        <v>0.1550456480560857</v>
      </c>
      <c r="BB249" s="24">
        <v>0</v>
      </c>
      <c r="BC249" s="24">
        <v>59</v>
      </c>
      <c r="BD249" s="24">
        <v>48.379999999999995</v>
      </c>
    </row>
    <row r="250" spans="52:56" x14ac:dyDescent="0.25">
      <c r="AZ250" s="24">
        <v>247</v>
      </c>
      <c r="BA250" s="24">
        <v>0.1550456480560857</v>
      </c>
      <c r="BB250" s="24">
        <v>0</v>
      </c>
      <c r="BC250" s="24">
        <v>59</v>
      </c>
      <c r="BD250" s="24">
        <v>48.576666666666661</v>
      </c>
    </row>
    <row r="251" spans="52:56" x14ac:dyDescent="0.25">
      <c r="AZ251" s="24">
        <v>248</v>
      </c>
      <c r="BA251" s="24">
        <v>0.15339374070461942</v>
      </c>
      <c r="BB251" s="24">
        <v>0</v>
      </c>
      <c r="BC251" s="24">
        <v>59</v>
      </c>
      <c r="BD251" s="24">
        <v>48.773333333333333</v>
      </c>
    </row>
    <row r="252" spans="52:56" x14ac:dyDescent="0.25">
      <c r="AZ252" s="24">
        <v>249</v>
      </c>
      <c r="BA252" s="24">
        <v>0.15339374070461942</v>
      </c>
      <c r="BB252" s="24">
        <v>0</v>
      </c>
      <c r="BC252" s="24">
        <v>59</v>
      </c>
      <c r="BD252" s="24">
        <v>48.97</v>
      </c>
    </row>
    <row r="253" spans="52:56" x14ac:dyDescent="0.25">
      <c r="AZ253" s="24">
        <v>250</v>
      </c>
      <c r="BA253" s="24">
        <v>0.15257320528922483</v>
      </c>
      <c r="BB253" s="24">
        <v>0</v>
      </c>
      <c r="BC253" s="24">
        <v>59</v>
      </c>
      <c r="BD253" s="24">
        <v>49.166666666666664</v>
      </c>
    </row>
    <row r="254" spans="52:56" x14ac:dyDescent="0.25">
      <c r="AZ254" s="24">
        <v>251</v>
      </c>
      <c r="BA254" s="24">
        <v>0.15175627231254518</v>
      </c>
      <c r="BB254" s="24">
        <v>0</v>
      </c>
      <c r="BC254" s="24">
        <v>59</v>
      </c>
      <c r="BD254" s="24">
        <v>49.36333333333333</v>
      </c>
    </row>
    <row r="255" spans="52:56" x14ac:dyDescent="0.25">
      <c r="AZ255" s="24">
        <v>252</v>
      </c>
      <c r="BA255" s="24">
        <v>0.15013318399277006</v>
      </c>
      <c r="BB255" s="24">
        <v>0</v>
      </c>
      <c r="BC255" s="24">
        <v>59</v>
      </c>
      <c r="BD255" s="24">
        <v>49.559999999999995</v>
      </c>
    </row>
    <row r="256" spans="52:56" x14ac:dyDescent="0.25">
      <c r="AZ256" s="24">
        <v>253</v>
      </c>
      <c r="BA256" s="24">
        <v>0.15013318399277006</v>
      </c>
      <c r="BB256" s="24">
        <v>0</v>
      </c>
      <c r="BC256" s="24">
        <v>59</v>
      </c>
      <c r="BD256" s="24">
        <v>49.756666666666661</v>
      </c>
    </row>
    <row r="257" spans="52:56" x14ac:dyDescent="0.25">
      <c r="AZ257" s="24">
        <v>254</v>
      </c>
      <c r="BA257" s="24">
        <v>0.14932701361322703</v>
      </c>
      <c r="BB257" s="24">
        <v>0</v>
      </c>
      <c r="BC257" s="24">
        <v>59</v>
      </c>
      <c r="BD257" s="24">
        <v>49.953333333333333</v>
      </c>
    </row>
    <row r="258" spans="52:56" x14ac:dyDescent="0.25">
      <c r="AZ258" s="24">
        <v>255</v>
      </c>
      <c r="BA258" s="24">
        <v>0.148524415601784</v>
      </c>
      <c r="BB258" s="24">
        <v>0</v>
      </c>
      <c r="BC258" s="24">
        <v>59</v>
      </c>
      <c r="BD258" s="24">
        <v>50.15</v>
      </c>
    </row>
    <row r="259" spans="52:56" x14ac:dyDescent="0.25">
      <c r="AZ259" s="24">
        <v>256</v>
      </c>
      <c r="BA259" s="24">
        <v>0.14772538225017257</v>
      </c>
      <c r="BB259" s="24">
        <v>0</v>
      </c>
      <c r="BC259" s="24">
        <v>59</v>
      </c>
      <c r="BD259" s="24">
        <v>50.346666666666664</v>
      </c>
    </row>
    <row r="260" spans="52:56" x14ac:dyDescent="0.25">
      <c r="AZ260" s="24">
        <v>257</v>
      </c>
      <c r="BA260" s="24">
        <v>0.14692990577614271</v>
      </c>
      <c r="BB260" s="24">
        <v>0</v>
      </c>
      <c r="BC260" s="24">
        <v>59</v>
      </c>
      <c r="BD260" s="24">
        <v>50.543333333333329</v>
      </c>
    </row>
    <row r="261" spans="52:56" x14ac:dyDescent="0.25">
      <c r="AZ261" s="24">
        <v>258</v>
      </c>
      <c r="BA261" s="24">
        <v>0.14692990577614271</v>
      </c>
      <c r="BB261" s="24">
        <v>0</v>
      </c>
      <c r="BC261" s="24">
        <v>59</v>
      </c>
      <c r="BD261" s="24">
        <v>50.739999999999995</v>
      </c>
    </row>
    <row r="262" spans="52:56" x14ac:dyDescent="0.25">
      <c r="AZ262" s="24">
        <v>259</v>
      </c>
      <c r="BA262" s="24">
        <v>0.14613797832458675</v>
      </c>
      <c r="BB262" s="24">
        <v>0</v>
      </c>
      <c r="BC262" s="24">
        <v>59</v>
      </c>
      <c r="BD262" s="24">
        <v>50.936666666666667</v>
      </c>
    </row>
    <row r="263" spans="52:56" x14ac:dyDescent="0.25">
      <c r="AZ263" s="24">
        <v>260</v>
      </c>
      <c r="BA263" s="24">
        <v>0.14613797832458675</v>
      </c>
      <c r="BB263" s="24">
        <v>0</v>
      </c>
      <c r="BC263" s="24">
        <v>59</v>
      </c>
      <c r="BD263" s="24">
        <v>51.133333333333333</v>
      </c>
    </row>
    <row r="264" spans="52:56" x14ac:dyDescent="0.25">
      <c r="AZ264" s="24">
        <v>261</v>
      </c>
      <c r="BA264" s="24">
        <v>0.14534959196865824</v>
      </c>
      <c r="BB264" s="24">
        <v>0</v>
      </c>
      <c r="BC264" s="24">
        <v>59</v>
      </c>
      <c r="BD264" s="24">
        <v>51.33</v>
      </c>
    </row>
    <row r="265" spans="52:56" x14ac:dyDescent="0.25">
      <c r="AZ265" s="24">
        <v>262</v>
      </c>
      <c r="BA265" s="24">
        <v>0.14456473871088638</v>
      </c>
      <c r="BB265" s="24">
        <v>0</v>
      </c>
      <c r="BC265" s="24">
        <v>59</v>
      </c>
      <c r="BD265" s="24">
        <v>51.526666666666664</v>
      </c>
    </row>
    <row r="266" spans="52:56" x14ac:dyDescent="0.25">
      <c r="AZ266" s="24">
        <v>263</v>
      </c>
      <c r="BA266" s="24">
        <v>0.14456473871088638</v>
      </c>
      <c r="BB266" s="24">
        <v>0</v>
      </c>
      <c r="BC266" s="24">
        <v>59</v>
      </c>
      <c r="BD266" s="24">
        <v>51.723333333333329</v>
      </c>
    </row>
    <row r="267" spans="52:56" x14ac:dyDescent="0.25">
      <c r="AZ267" s="24">
        <v>264</v>
      </c>
      <c r="BA267" s="24">
        <v>0.14378341048428475</v>
      </c>
      <c r="BB267" s="24">
        <v>0</v>
      </c>
      <c r="BC267" s="24">
        <v>59</v>
      </c>
      <c r="BD267" s="24">
        <v>51.919999999999995</v>
      </c>
    </row>
    <row r="268" spans="52:56" x14ac:dyDescent="0.25">
      <c r="AZ268" s="24">
        <v>265</v>
      </c>
      <c r="BA268" s="24">
        <v>0.14378341048428475</v>
      </c>
      <c r="BB268" s="24">
        <v>0</v>
      </c>
      <c r="BC268" s="24">
        <v>59</v>
      </c>
      <c r="BD268" s="24">
        <v>52.116666666666667</v>
      </c>
    </row>
    <row r="269" spans="52:56" x14ac:dyDescent="0.25">
      <c r="AZ269" s="24">
        <v>266</v>
      </c>
      <c r="BA269" s="24">
        <v>0.14300559915345581</v>
      </c>
      <c r="BB269" s="24">
        <v>0</v>
      </c>
      <c r="BC269" s="24">
        <v>59</v>
      </c>
      <c r="BD269" s="24">
        <v>52.313333333333333</v>
      </c>
    </row>
    <row r="270" spans="52:56" x14ac:dyDescent="0.25">
      <c r="AZ270" s="24">
        <v>267</v>
      </c>
      <c r="BA270" s="24">
        <v>0.14300559915345581</v>
      </c>
      <c r="BB270" s="24">
        <v>0</v>
      </c>
      <c r="BC270" s="24">
        <v>59</v>
      </c>
      <c r="BD270" s="24">
        <v>52.51</v>
      </c>
    </row>
    <row r="271" spans="52:56" x14ac:dyDescent="0.25">
      <c r="AZ271" s="24">
        <v>268</v>
      </c>
      <c r="BA271" s="24">
        <v>0.14300559915345581</v>
      </c>
      <c r="BB271" s="24">
        <v>0</v>
      </c>
      <c r="BC271" s="24">
        <v>59</v>
      </c>
      <c r="BD271" s="24">
        <v>52.706666666666663</v>
      </c>
    </row>
    <row r="272" spans="52:56" x14ac:dyDescent="0.25">
      <c r="AZ272" s="24">
        <v>269</v>
      </c>
      <c r="BA272" s="24">
        <v>0.14300559915345581</v>
      </c>
      <c r="BB272" s="24">
        <v>0</v>
      </c>
      <c r="BC272" s="24">
        <v>59</v>
      </c>
      <c r="BD272" s="24">
        <v>52.903333333333329</v>
      </c>
    </row>
    <row r="273" spans="52:56" x14ac:dyDescent="0.25">
      <c r="AZ273" s="24">
        <v>270</v>
      </c>
      <c r="BA273" s="24">
        <v>0.14069318417849461</v>
      </c>
      <c r="BB273" s="24">
        <v>0</v>
      </c>
      <c r="BC273" s="24">
        <v>59</v>
      </c>
      <c r="BD273" s="24">
        <v>53.099999999999994</v>
      </c>
    </row>
    <row r="274" spans="52:56" x14ac:dyDescent="0.25">
      <c r="AZ274" s="25">
        <v>271</v>
      </c>
      <c r="BA274" s="25">
        <v>0.14069318417849461</v>
      </c>
      <c r="BB274" s="25">
        <v>0</v>
      </c>
      <c r="BC274" s="25">
        <v>59</v>
      </c>
      <c r="BD274" s="25">
        <v>53.296666666666667</v>
      </c>
    </row>
    <row r="275" spans="52:56" x14ac:dyDescent="0.25">
      <c r="AZ275" s="25">
        <v>272</v>
      </c>
      <c r="BA275" s="25">
        <v>0.13992935774689849</v>
      </c>
      <c r="BB275" s="25">
        <v>0</v>
      </c>
      <c r="BC275" s="25">
        <v>59</v>
      </c>
      <c r="BD275" s="25">
        <v>53.493333333333332</v>
      </c>
    </row>
    <row r="276" spans="52:56" x14ac:dyDescent="0.25">
      <c r="AZ276" s="25">
        <v>273</v>
      </c>
      <c r="BA276" s="25">
        <v>0.13992935774689849</v>
      </c>
      <c r="BB276" s="25">
        <v>0</v>
      </c>
      <c r="BC276" s="25">
        <v>59</v>
      </c>
      <c r="BD276" s="25">
        <v>53.69</v>
      </c>
    </row>
    <row r="277" spans="52:56" x14ac:dyDescent="0.25">
      <c r="AZ277" s="25">
        <v>274</v>
      </c>
      <c r="BA277" s="25">
        <v>0.13916900654618838</v>
      </c>
      <c r="BB277" s="25">
        <v>0</v>
      </c>
      <c r="BC277" s="25">
        <v>59</v>
      </c>
      <c r="BD277" s="25">
        <v>53.886666666666663</v>
      </c>
    </row>
    <row r="278" spans="52:56" x14ac:dyDescent="0.25">
      <c r="AZ278" s="25">
        <v>275</v>
      </c>
      <c r="BA278" s="25">
        <v>0.13841212205338652</v>
      </c>
      <c r="BB278" s="25">
        <v>0</v>
      </c>
      <c r="BC278" s="25">
        <v>59</v>
      </c>
      <c r="BD278" s="25">
        <v>54.083333333333329</v>
      </c>
    </row>
    <row r="279" spans="52:56" x14ac:dyDescent="0.25">
      <c r="AZ279" s="25">
        <v>276</v>
      </c>
      <c r="BA279" s="25">
        <v>0.13841212205338652</v>
      </c>
      <c r="BB279" s="25">
        <v>0</v>
      </c>
      <c r="BC279" s="25">
        <v>59</v>
      </c>
      <c r="BD279" s="25">
        <v>54.279999999999994</v>
      </c>
    </row>
    <row r="280" spans="52:56" x14ac:dyDescent="0.25">
      <c r="AZ280" s="25">
        <v>277</v>
      </c>
      <c r="BA280" s="25">
        <v>0.13841212205338652</v>
      </c>
      <c r="BB280" s="25">
        <v>0</v>
      </c>
      <c r="BC280" s="25">
        <v>59</v>
      </c>
      <c r="BD280" s="25">
        <v>54.476666666666667</v>
      </c>
    </row>
    <row r="281" spans="52:56" x14ac:dyDescent="0.25">
      <c r="AZ281" s="25">
        <v>278</v>
      </c>
      <c r="BA281" s="25">
        <v>0.1376586956846825</v>
      </c>
      <c r="BB281" s="25">
        <v>0</v>
      </c>
      <c r="BC281" s="25">
        <v>59</v>
      </c>
      <c r="BD281" s="25">
        <v>54.673333333333332</v>
      </c>
    </row>
    <row r="282" spans="52:56" x14ac:dyDescent="0.25">
      <c r="AZ282" s="25">
        <v>279</v>
      </c>
      <c r="BA282" s="25">
        <v>0.13690871879649361</v>
      </c>
      <c r="BB282" s="25">
        <v>0</v>
      </c>
      <c r="BC282" s="25">
        <v>59</v>
      </c>
      <c r="BD282" s="25">
        <v>54.87</v>
      </c>
    </row>
    <row r="283" spans="52:56" x14ac:dyDescent="0.25">
      <c r="AZ283" s="25">
        <v>280</v>
      </c>
      <c r="BA283" s="25">
        <v>0.13467939770471385</v>
      </c>
      <c r="BB283" s="25">
        <v>0</v>
      </c>
      <c r="BC283" s="25">
        <v>59</v>
      </c>
      <c r="BD283" s="25">
        <v>55.066666666666663</v>
      </c>
    </row>
    <row r="284" spans="52:56" x14ac:dyDescent="0.25">
      <c r="AZ284" s="25">
        <v>281</v>
      </c>
      <c r="BA284" s="25">
        <v>0.13321026998622063</v>
      </c>
      <c r="BB284" s="25">
        <v>0</v>
      </c>
      <c r="BC284" s="25">
        <v>59</v>
      </c>
      <c r="BD284" s="25">
        <v>55.263333333333328</v>
      </c>
    </row>
    <row r="285" spans="52:56" x14ac:dyDescent="0.25">
      <c r="AZ285" s="25">
        <v>282</v>
      </c>
      <c r="BA285" s="25">
        <v>0.13031269899484205</v>
      </c>
      <c r="BB285" s="25">
        <v>0</v>
      </c>
      <c r="BC285" s="25">
        <v>59</v>
      </c>
      <c r="BD285" s="25">
        <v>55.459999999999994</v>
      </c>
    </row>
    <row r="286" spans="52:56" x14ac:dyDescent="0.25">
      <c r="AZ286" s="25">
        <v>283</v>
      </c>
      <c r="BA286" s="25">
        <v>0.12676626407826649</v>
      </c>
      <c r="BB286" s="25">
        <v>0</v>
      </c>
      <c r="BC286" s="25">
        <v>59</v>
      </c>
      <c r="BD286" s="25">
        <v>55.656666666666666</v>
      </c>
    </row>
    <row r="287" spans="52:56" x14ac:dyDescent="0.25">
      <c r="AZ287" s="25">
        <v>284</v>
      </c>
      <c r="BA287" s="25">
        <v>0.12676626407826649</v>
      </c>
      <c r="BB287" s="25">
        <v>0</v>
      </c>
      <c r="BC287" s="25">
        <v>59</v>
      </c>
      <c r="BD287" s="25">
        <v>55.853333333333332</v>
      </c>
    </row>
    <row r="288" spans="52:56" x14ac:dyDescent="0.25">
      <c r="AZ288" s="25">
        <v>285</v>
      </c>
      <c r="BA288" s="25">
        <v>0.12676626407826649</v>
      </c>
      <c r="BB288" s="25">
        <v>0</v>
      </c>
      <c r="BC288" s="25">
        <v>59</v>
      </c>
      <c r="BD288" s="25">
        <v>56.05</v>
      </c>
    </row>
    <row r="289" spans="52:56" x14ac:dyDescent="0.25">
      <c r="AZ289" s="25">
        <v>286</v>
      </c>
      <c r="BA289" s="25">
        <v>0.12606695469913834</v>
      </c>
      <c r="BB289" s="25">
        <v>0</v>
      </c>
      <c r="BC289" s="25">
        <v>59</v>
      </c>
      <c r="BD289" s="25">
        <v>56.246666666666663</v>
      </c>
    </row>
    <row r="290" spans="52:56" x14ac:dyDescent="0.25">
      <c r="AZ290" s="25">
        <v>287</v>
      </c>
      <c r="BA290" s="25">
        <v>0.12467823812708556</v>
      </c>
      <c r="BB290" s="25">
        <v>0</v>
      </c>
      <c r="BC290" s="25">
        <v>59</v>
      </c>
      <c r="BD290" s="25">
        <v>56.443333333333328</v>
      </c>
    </row>
    <row r="291" spans="52:56" x14ac:dyDescent="0.25">
      <c r="AZ291" s="25">
        <v>288</v>
      </c>
      <c r="BA291" s="25">
        <v>0.12467823812708556</v>
      </c>
      <c r="BB291" s="25">
        <v>0</v>
      </c>
      <c r="BC291" s="25">
        <v>59</v>
      </c>
      <c r="BD291" s="25">
        <v>56.64</v>
      </c>
    </row>
    <row r="292" spans="52:56" x14ac:dyDescent="0.25">
      <c r="AZ292" s="25">
        <v>289</v>
      </c>
      <c r="BA292" s="25">
        <v>0.12330266090719978</v>
      </c>
      <c r="BB292" s="25">
        <v>0</v>
      </c>
      <c r="BC292" s="25">
        <v>59</v>
      </c>
      <c r="BD292" s="25">
        <v>56.836666666666666</v>
      </c>
    </row>
    <row r="293" spans="52:56" x14ac:dyDescent="0.25">
      <c r="AZ293" s="25">
        <v>290</v>
      </c>
      <c r="BA293" s="25">
        <v>0.12194014619581467</v>
      </c>
      <c r="BB293" s="25">
        <v>0</v>
      </c>
      <c r="BC293" s="25">
        <v>59</v>
      </c>
      <c r="BD293" s="25">
        <v>57.033333333333331</v>
      </c>
    </row>
    <row r="294" spans="52:56" x14ac:dyDescent="0.25">
      <c r="AZ294" s="25">
        <v>291</v>
      </c>
      <c r="BA294" s="25">
        <v>0.11925399383965792</v>
      </c>
      <c r="BB294" s="25">
        <v>0</v>
      </c>
      <c r="BC294" s="25">
        <v>59</v>
      </c>
      <c r="BD294" s="25">
        <v>57.23</v>
      </c>
    </row>
    <row r="295" spans="52:56" x14ac:dyDescent="0.25">
      <c r="AZ295" s="25">
        <v>292</v>
      </c>
      <c r="BA295" s="25">
        <v>0.11727308826383263</v>
      </c>
      <c r="BB295" s="25">
        <v>0</v>
      </c>
      <c r="BC295" s="25">
        <v>59</v>
      </c>
      <c r="BD295" s="25">
        <v>57.426666666666662</v>
      </c>
    </row>
    <row r="296" spans="52:56" x14ac:dyDescent="0.25">
      <c r="AZ296" s="25">
        <v>293</v>
      </c>
      <c r="BA296" s="25">
        <v>0.11727308826383263</v>
      </c>
      <c r="BB296" s="25">
        <v>0</v>
      </c>
      <c r="BC296" s="25">
        <v>59</v>
      </c>
      <c r="BD296" s="25">
        <v>57.623333333333328</v>
      </c>
    </row>
    <row r="297" spans="52:56" x14ac:dyDescent="0.25">
      <c r="AZ297" s="25">
        <v>294</v>
      </c>
      <c r="BA297" s="25">
        <v>0.11727308826383263</v>
      </c>
      <c r="BB297" s="25">
        <v>0</v>
      </c>
      <c r="BC297" s="25">
        <v>59</v>
      </c>
      <c r="BD297" s="25">
        <v>57.82</v>
      </c>
    </row>
    <row r="298" spans="52:56" x14ac:dyDescent="0.25">
      <c r="AZ298" s="25">
        <v>295</v>
      </c>
      <c r="BA298" s="25">
        <v>0.11532077878132954</v>
      </c>
      <c r="BB298" s="25">
        <v>0</v>
      </c>
      <c r="BC298" s="25">
        <v>59</v>
      </c>
      <c r="BD298" s="25">
        <v>58.016666666666666</v>
      </c>
    </row>
    <row r="299" spans="52:56" x14ac:dyDescent="0.25">
      <c r="AZ299" s="25">
        <v>296</v>
      </c>
      <c r="BA299" s="25">
        <v>0.11276171513011904</v>
      </c>
      <c r="BB299" s="25">
        <v>0</v>
      </c>
      <c r="BC299" s="25">
        <v>59</v>
      </c>
      <c r="BD299" s="25">
        <v>58.213333333333331</v>
      </c>
    </row>
    <row r="300" spans="52:56" x14ac:dyDescent="0.25">
      <c r="AZ300" s="25">
        <v>297</v>
      </c>
      <c r="BA300" s="25">
        <v>0.11150086545083167</v>
      </c>
      <c r="BB300" s="25">
        <v>0</v>
      </c>
      <c r="BC300" s="25">
        <v>59</v>
      </c>
      <c r="BD300" s="25">
        <v>58.41</v>
      </c>
    </row>
    <row r="301" spans="52:56" x14ac:dyDescent="0.25">
      <c r="AZ301" s="25">
        <v>298</v>
      </c>
      <c r="BA301" s="25">
        <v>0.10963271474904142</v>
      </c>
      <c r="BB301" s="25">
        <v>0</v>
      </c>
      <c r="BC301" s="25">
        <v>59</v>
      </c>
      <c r="BD301" s="25">
        <v>58.606666666666662</v>
      </c>
    </row>
    <row r="302" spans="52:56" x14ac:dyDescent="0.25">
      <c r="AZ302" s="25">
        <v>299</v>
      </c>
      <c r="BA302" s="25">
        <v>0.10901612327706026</v>
      </c>
      <c r="BB302" s="25">
        <v>0</v>
      </c>
      <c r="BC302" s="25">
        <v>59</v>
      </c>
      <c r="BD302" s="25">
        <v>58.803333333333327</v>
      </c>
    </row>
    <row r="303" spans="52:56" x14ac:dyDescent="0.25">
      <c r="AZ303" s="25">
        <v>300</v>
      </c>
      <c r="BA303" s="25">
        <v>0.10478468166845953</v>
      </c>
      <c r="BB303" s="25">
        <v>0</v>
      </c>
      <c r="BC303" s="25">
        <v>59</v>
      </c>
      <c r="BD303" s="25">
        <v>59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1'!$B$10:$B$10" display="Inputs"/>
    <hyperlink ref="D4" location="'LR_Output1'!$B$40:$B$40" display="Prior Class Prob."/>
    <hyperlink ref="F4" location="'LR_Output1'!$B$49:$B$49" display="Predictors"/>
    <hyperlink ref="H4" location="'LR_Output1'!$B$59:$B$59" display="Regress. Model"/>
    <hyperlink ref="J4" location="'LR_Output1'!$B$66:$B$66" display="Train. Score Summary"/>
    <hyperlink ref="B5" location="'LR_Output1'!$B$90:$B$90" display="Valid. Score Summary"/>
    <hyperlink ref="D5" location="'LR_TrainingLiftChart1'!$B$10:$B$10" display="Training Lift Chart"/>
    <hyperlink ref="F5" location="'LR_ValidationLiftChart1'!$B$10:$B$10" display="Validation Lift Chart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203"/>
  <sheetViews>
    <sheetView showGridLines="0" topLeftCell="A4" zoomScale="85" zoomScaleNormal="85" workbookViewId="0"/>
  </sheetViews>
  <sheetFormatPr defaultRowHeight="15.75" x14ac:dyDescent="0.25"/>
  <cols>
    <col min="14" max="14" width="11.5" bestFit="1" customWidth="1"/>
    <col min="52" max="52" width="7.125" customWidth="1"/>
    <col min="53" max="53" width="14" bestFit="1" customWidth="1"/>
    <col min="54" max="54" width="11.5" bestFit="1" customWidth="1"/>
    <col min="55" max="55" width="40.5" bestFit="1" customWidth="1"/>
    <col min="56" max="56" width="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ht="18.75" x14ac:dyDescent="0.3">
      <c r="B1" s="5" t="s">
        <v>44</v>
      </c>
      <c r="N1" t="s">
        <v>167</v>
      </c>
      <c r="BZ1" s="10" t="s">
        <v>54</v>
      </c>
      <c r="CA1" s="10" t="s">
        <v>55</v>
      </c>
      <c r="CB1" s="10" t="s">
        <v>56</v>
      </c>
    </row>
    <row r="2" spans="2:80" x14ac:dyDescent="0.25">
      <c r="BZ2">
        <v>0</v>
      </c>
      <c r="CA2">
        <v>0</v>
      </c>
      <c r="CB2">
        <v>0</v>
      </c>
    </row>
    <row r="3" spans="2:80" x14ac:dyDescent="0.25">
      <c r="B3" s="11" t="s">
        <v>5</v>
      </c>
      <c r="C3" s="12"/>
      <c r="D3" s="12"/>
      <c r="E3" s="12"/>
      <c r="F3" s="12"/>
      <c r="G3" s="12"/>
      <c r="H3" s="12"/>
      <c r="I3" s="12"/>
      <c r="J3" s="12"/>
      <c r="K3" s="13"/>
      <c r="N3" s="11" t="s">
        <v>6</v>
      </c>
      <c r="O3" s="12"/>
      <c r="P3" s="12"/>
      <c r="Q3" s="13"/>
      <c r="AZ3" s="10" t="s">
        <v>47</v>
      </c>
      <c r="BA3" s="10" t="s">
        <v>48</v>
      </c>
      <c r="BB3" s="10" t="s">
        <v>49</v>
      </c>
      <c r="BC3" s="10" t="s">
        <v>50</v>
      </c>
      <c r="BD3" s="10" t="s">
        <v>51</v>
      </c>
      <c r="BE3" s="10" t="s">
        <v>52</v>
      </c>
      <c r="BF3" s="10" t="s">
        <v>53</v>
      </c>
      <c r="BZ3">
        <v>6.2111801242236021E-3</v>
      </c>
      <c r="CA3">
        <v>0</v>
      </c>
      <c r="CB3">
        <v>6.2111801242236021E-3</v>
      </c>
    </row>
    <row r="4" spans="2:80" x14ac:dyDescent="0.25">
      <c r="B4" s="23" t="s">
        <v>62</v>
      </c>
      <c r="C4" s="19"/>
      <c r="D4" s="23" t="s">
        <v>63</v>
      </c>
      <c r="E4" s="19"/>
      <c r="F4" s="23" t="s">
        <v>64</v>
      </c>
      <c r="G4" s="19"/>
      <c r="H4" s="23" t="s">
        <v>65</v>
      </c>
      <c r="I4" s="19"/>
      <c r="J4" s="23" t="s">
        <v>67</v>
      </c>
      <c r="K4" s="19"/>
      <c r="N4" s="10" t="s">
        <v>45</v>
      </c>
      <c r="O4" s="10" t="s">
        <v>46</v>
      </c>
      <c r="P4" s="10" t="s">
        <v>8</v>
      </c>
      <c r="Q4" s="10" t="s">
        <v>9</v>
      </c>
      <c r="AZ4" s="24">
        <v>1</v>
      </c>
      <c r="BA4" s="24">
        <v>0.28952489717186036</v>
      </c>
      <c r="BB4" s="24">
        <v>0</v>
      </c>
      <c r="BC4" s="24">
        <v>0</v>
      </c>
      <c r="BD4" s="24">
        <v>0.19500000000000001</v>
      </c>
      <c r="BE4">
        <v>1</v>
      </c>
      <c r="BF4">
        <v>1.0256410256410255</v>
      </c>
      <c r="BZ4">
        <v>1.2422360248447204E-2</v>
      </c>
      <c r="CA4">
        <v>0</v>
      </c>
      <c r="CB4">
        <v>1.2422360248447204E-2</v>
      </c>
    </row>
    <row r="5" spans="2:80" x14ac:dyDescent="0.25">
      <c r="B5" s="23" t="s">
        <v>68</v>
      </c>
      <c r="C5" s="19"/>
      <c r="D5" s="23" t="s">
        <v>69</v>
      </c>
      <c r="E5" s="19"/>
      <c r="F5" s="23" t="s">
        <v>70</v>
      </c>
      <c r="G5" s="19"/>
      <c r="H5" s="17"/>
      <c r="I5" s="19"/>
      <c r="J5" s="17"/>
      <c r="K5" s="19"/>
      <c r="N5" s="7">
        <v>0</v>
      </c>
      <c r="O5" s="7">
        <v>0</v>
      </c>
      <c r="P5" s="7">
        <v>0</v>
      </c>
      <c r="Q5" s="7">
        <v>0</v>
      </c>
      <c r="AZ5" s="24">
        <v>2</v>
      </c>
      <c r="BA5" s="24">
        <v>0.28692674433772758</v>
      </c>
      <c r="BB5" s="24">
        <v>0</v>
      </c>
      <c r="BC5" s="24">
        <v>0</v>
      </c>
      <c r="BD5" s="24">
        <v>0.39</v>
      </c>
      <c r="BE5">
        <v>2</v>
      </c>
      <c r="BF5">
        <v>0.76923076923076916</v>
      </c>
      <c r="BZ5">
        <v>1.8633540372670808E-2</v>
      </c>
      <c r="CA5">
        <v>0</v>
      </c>
      <c r="CB5">
        <v>1.8633540372670808E-2</v>
      </c>
    </row>
    <row r="6" spans="2:80" x14ac:dyDescent="0.25">
      <c r="AZ6" s="24">
        <v>3</v>
      </c>
      <c r="BA6" s="24">
        <v>0.28434257575731653</v>
      </c>
      <c r="BB6" s="24">
        <v>0</v>
      </c>
      <c r="BC6" s="24">
        <v>0</v>
      </c>
      <c r="BD6" s="24">
        <v>0.58499999999999996</v>
      </c>
      <c r="BE6">
        <v>3</v>
      </c>
      <c r="BF6">
        <v>1.5384615384615383</v>
      </c>
      <c r="BZ6">
        <v>3.1055900621118012E-2</v>
      </c>
      <c r="CA6">
        <v>0</v>
      </c>
      <c r="CB6">
        <v>3.1055900621118012E-2</v>
      </c>
    </row>
    <row r="7" spans="2:80" x14ac:dyDescent="0.25">
      <c r="AZ7" s="24">
        <v>4</v>
      </c>
      <c r="BA7" s="24">
        <v>0.28049274582451672</v>
      </c>
      <c r="BB7" s="24">
        <v>0</v>
      </c>
      <c r="BC7" s="24">
        <v>0</v>
      </c>
      <c r="BD7" s="24">
        <v>0.78</v>
      </c>
      <c r="BE7">
        <v>4</v>
      </c>
      <c r="BF7">
        <v>1.0256410256410255</v>
      </c>
      <c r="BZ7">
        <v>3.7267080745341616E-2</v>
      </c>
      <c r="CA7">
        <v>0</v>
      </c>
      <c r="CB7">
        <v>3.7267080745341616E-2</v>
      </c>
    </row>
    <row r="8" spans="2:80" x14ac:dyDescent="0.25">
      <c r="AZ8" s="24">
        <v>5</v>
      </c>
      <c r="BA8" s="24">
        <v>0.28049274582451672</v>
      </c>
      <c r="BB8" s="24">
        <v>0</v>
      </c>
      <c r="BC8" s="24">
        <v>0</v>
      </c>
      <c r="BD8" s="24">
        <v>0.97500000000000009</v>
      </c>
      <c r="BE8">
        <v>5</v>
      </c>
      <c r="BF8">
        <v>2.3076923076923075</v>
      </c>
      <c r="BZ8">
        <v>4.3478260869565216E-2</v>
      </c>
      <c r="CA8">
        <v>0</v>
      </c>
      <c r="CB8">
        <v>4.3478260869565216E-2</v>
      </c>
    </row>
    <row r="9" spans="2:80" x14ac:dyDescent="0.25">
      <c r="AZ9" s="24">
        <v>6</v>
      </c>
      <c r="BA9" s="24">
        <v>0.2779439374646816</v>
      </c>
      <c r="BB9" s="24">
        <v>0</v>
      </c>
      <c r="BC9" s="24">
        <v>0</v>
      </c>
      <c r="BD9" s="24">
        <v>1.17</v>
      </c>
      <c r="BE9">
        <v>6</v>
      </c>
      <c r="BF9">
        <v>1.7948717948717947</v>
      </c>
      <c r="BZ9">
        <v>4.9689440993788817E-2</v>
      </c>
      <c r="CA9">
        <v>0</v>
      </c>
      <c r="CB9">
        <v>4.9689440993788817E-2</v>
      </c>
    </row>
    <row r="10" spans="2:80" x14ac:dyDescent="0.25">
      <c r="AZ10" s="24">
        <v>7</v>
      </c>
      <c r="BA10" s="24">
        <v>0.27540942450135336</v>
      </c>
      <c r="BB10" s="24">
        <v>0</v>
      </c>
      <c r="BC10" s="24">
        <v>0</v>
      </c>
      <c r="BD10" s="24">
        <v>1.365</v>
      </c>
      <c r="BE10">
        <v>7</v>
      </c>
      <c r="BF10">
        <v>0.51282051282051277</v>
      </c>
      <c r="BZ10">
        <v>5.5900621118012424E-2</v>
      </c>
      <c r="CA10">
        <v>0</v>
      </c>
      <c r="CB10">
        <v>5.5900621118012424E-2</v>
      </c>
    </row>
    <row r="11" spans="2:80" x14ac:dyDescent="0.25">
      <c r="AZ11" s="24">
        <v>8</v>
      </c>
      <c r="BA11" s="24">
        <v>0.27414755442294014</v>
      </c>
      <c r="BB11" s="24">
        <v>0</v>
      </c>
      <c r="BC11" s="24">
        <v>0</v>
      </c>
      <c r="BD11" s="24">
        <v>1.56</v>
      </c>
      <c r="BE11">
        <v>8</v>
      </c>
      <c r="BF11">
        <v>0.51282051282051277</v>
      </c>
      <c r="BZ11">
        <v>6.2111801242236024E-2</v>
      </c>
      <c r="CA11">
        <v>0</v>
      </c>
      <c r="CB11">
        <v>6.2111801242236024E-2</v>
      </c>
    </row>
    <row r="12" spans="2:80" x14ac:dyDescent="0.25">
      <c r="AZ12" s="24">
        <v>9</v>
      </c>
      <c r="BA12" s="24">
        <v>0.27288928854661604</v>
      </c>
      <c r="BB12" s="24">
        <v>0</v>
      </c>
      <c r="BC12" s="24">
        <v>0</v>
      </c>
      <c r="BD12" s="24">
        <v>1.7550000000000001</v>
      </c>
      <c r="BE12">
        <v>9</v>
      </c>
      <c r="BF12">
        <v>0.51282051282051277</v>
      </c>
      <c r="BZ12">
        <v>8.0745341614906832E-2</v>
      </c>
      <c r="CA12">
        <v>2.564102564102564E-2</v>
      </c>
      <c r="CB12">
        <v>8.0745341614906832E-2</v>
      </c>
    </row>
    <row r="13" spans="2:80" x14ac:dyDescent="0.25">
      <c r="AZ13" s="24">
        <v>10</v>
      </c>
      <c r="BA13" s="24">
        <v>0.27163463657149273</v>
      </c>
      <c r="BB13" s="24">
        <v>0</v>
      </c>
      <c r="BC13" s="24">
        <v>0</v>
      </c>
      <c r="BD13" s="24">
        <v>1.9500000000000002</v>
      </c>
      <c r="BE13">
        <v>10</v>
      </c>
      <c r="BF13">
        <v>0</v>
      </c>
      <c r="BZ13">
        <v>9.3167701863354033E-2</v>
      </c>
      <c r="CA13">
        <v>2.564102564102564E-2</v>
      </c>
      <c r="CB13">
        <v>9.3167701863354033E-2</v>
      </c>
    </row>
    <row r="14" spans="2:80" x14ac:dyDescent="0.25">
      <c r="AZ14" s="24">
        <v>11</v>
      </c>
      <c r="BA14" s="24">
        <v>0.27038360799655531</v>
      </c>
      <c r="BB14" s="24">
        <v>0</v>
      </c>
      <c r="BC14" s="24">
        <v>0</v>
      </c>
      <c r="BD14" s="24">
        <v>2.145</v>
      </c>
      <c r="BZ14">
        <v>9.3167701863354033E-2</v>
      </c>
      <c r="CA14">
        <v>5.128205128205128E-2</v>
      </c>
      <c r="CB14">
        <v>9.3167701863354033E-2</v>
      </c>
    </row>
    <row r="15" spans="2:80" x14ac:dyDescent="0.25">
      <c r="AZ15" s="24">
        <v>12</v>
      </c>
      <c r="BA15" s="24">
        <v>0.27038360799655531</v>
      </c>
      <c r="BB15" s="24">
        <v>0</v>
      </c>
      <c r="BC15" s="24">
        <v>0</v>
      </c>
      <c r="BD15" s="24">
        <v>2.34</v>
      </c>
      <c r="BZ15">
        <v>9.3167701863354033E-2</v>
      </c>
      <c r="CA15">
        <v>7.6923076923076927E-2</v>
      </c>
      <c r="CB15">
        <v>9.3167701863354033E-2</v>
      </c>
    </row>
    <row r="16" spans="2:80" x14ac:dyDescent="0.25">
      <c r="AZ16" s="24">
        <v>13</v>
      </c>
      <c r="BA16" s="24">
        <v>0.27038360799655531</v>
      </c>
      <c r="BB16" s="24">
        <v>1</v>
      </c>
      <c r="BC16" s="24">
        <v>1</v>
      </c>
      <c r="BD16" s="24">
        <v>2.5350000000000001</v>
      </c>
      <c r="BZ16">
        <v>9.3167701863354033E-2</v>
      </c>
      <c r="CA16">
        <v>0.10256410256410256</v>
      </c>
      <c r="CB16">
        <v>9.3167701863354033E-2</v>
      </c>
    </row>
    <row r="17" spans="52:80" x14ac:dyDescent="0.25">
      <c r="AZ17" s="24">
        <v>14</v>
      </c>
      <c r="BA17" s="24">
        <v>0.27038360799655531</v>
      </c>
      <c r="BB17" s="24">
        <v>0</v>
      </c>
      <c r="BC17" s="24">
        <v>1</v>
      </c>
      <c r="BD17" s="24">
        <v>2.73</v>
      </c>
      <c r="BZ17">
        <v>9.9378881987577633E-2</v>
      </c>
      <c r="CA17">
        <v>0.10256410256410256</v>
      </c>
      <c r="CB17">
        <v>9.9378881987577633E-2</v>
      </c>
    </row>
    <row r="18" spans="52:80" x14ac:dyDescent="0.25">
      <c r="AZ18" s="24">
        <v>15</v>
      </c>
      <c r="BA18" s="24">
        <v>0.2691362121211332</v>
      </c>
      <c r="BB18" s="24">
        <v>0</v>
      </c>
      <c r="BC18" s="24">
        <v>1</v>
      </c>
      <c r="BD18" s="24">
        <v>2.9250000000000003</v>
      </c>
      <c r="BZ18">
        <v>9.9378881987577633E-2</v>
      </c>
      <c r="CA18">
        <v>0.12820512820512819</v>
      </c>
      <c r="CB18">
        <v>9.9378881987577633E-2</v>
      </c>
    </row>
    <row r="19" spans="52:80" x14ac:dyDescent="0.25">
      <c r="AZ19" s="24">
        <v>16</v>
      </c>
      <c r="BA19" s="24">
        <v>0.2691362121211332</v>
      </c>
      <c r="BB19" s="24">
        <v>0</v>
      </c>
      <c r="BC19" s="24">
        <v>1</v>
      </c>
      <c r="BD19" s="24">
        <v>3.12</v>
      </c>
      <c r="BZ19">
        <v>0.10559006211180125</v>
      </c>
      <c r="CA19">
        <v>0.12820512820512819</v>
      </c>
      <c r="CB19">
        <v>0.10559006211180125</v>
      </c>
    </row>
    <row r="20" spans="52:80" x14ac:dyDescent="0.25">
      <c r="AZ20" s="24">
        <v>17</v>
      </c>
      <c r="BA20" s="24">
        <v>0.26665235467082504</v>
      </c>
      <c r="BB20" s="24">
        <v>1</v>
      </c>
      <c r="BC20" s="24">
        <v>2</v>
      </c>
      <c r="BD20" s="24">
        <v>3.3149999999999999</v>
      </c>
      <c r="BZ20">
        <v>0.11180124223602485</v>
      </c>
      <c r="CA20">
        <v>0.12820512820512819</v>
      </c>
      <c r="CB20">
        <v>0.11180124223602485</v>
      </c>
    </row>
    <row r="21" spans="52:80" x14ac:dyDescent="0.25">
      <c r="AZ21" s="24">
        <v>18</v>
      </c>
      <c r="BA21" s="24">
        <v>0.26418313464112936</v>
      </c>
      <c r="BB21" s="24">
        <v>1</v>
      </c>
      <c r="BC21" s="24">
        <v>3</v>
      </c>
      <c r="BD21" s="24">
        <v>3.5100000000000002</v>
      </c>
      <c r="BZ21">
        <v>0.11801242236024845</v>
      </c>
      <c r="CA21">
        <v>0.12820512820512819</v>
      </c>
      <c r="CB21">
        <v>0.11801242236024845</v>
      </c>
    </row>
    <row r="22" spans="52:80" x14ac:dyDescent="0.25">
      <c r="AZ22" s="24">
        <v>19</v>
      </c>
      <c r="BA22" s="24">
        <v>0.26050689602994787</v>
      </c>
      <c r="BB22" s="24">
        <v>1</v>
      </c>
      <c r="BC22" s="24">
        <v>4</v>
      </c>
      <c r="BD22" s="24">
        <v>3.7050000000000001</v>
      </c>
      <c r="BZ22">
        <v>0.13664596273291926</v>
      </c>
      <c r="CA22">
        <v>0.12820512820512819</v>
      </c>
      <c r="CB22">
        <v>0.13664596273291926</v>
      </c>
    </row>
    <row r="23" spans="52:80" x14ac:dyDescent="0.25">
      <c r="AZ23" s="24">
        <v>20</v>
      </c>
      <c r="BA23" s="24">
        <v>0.25928887273763362</v>
      </c>
      <c r="BB23" s="24">
        <v>0</v>
      </c>
      <c r="BC23" s="24">
        <v>4</v>
      </c>
      <c r="BD23" s="24">
        <v>3.9000000000000004</v>
      </c>
      <c r="BZ23">
        <v>0.14285714285714285</v>
      </c>
      <c r="CA23">
        <v>0.12820512820512819</v>
      </c>
      <c r="CB23">
        <v>0.14285714285714285</v>
      </c>
    </row>
    <row r="24" spans="52:80" x14ac:dyDescent="0.25">
      <c r="AZ24" s="25">
        <v>21</v>
      </c>
      <c r="BA24" s="25">
        <v>0.25565707697198908</v>
      </c>
      <c r="BB24" s="25">
        <v>1</v>
      </c>
      <c r="BC24" s="25">
        <v>5</v>
      </c>
      <c r="BD24" s="25">
        <v>4.0949999999999998</v>
      </c>
      <c r="BZ24">
        <v>0.14285714285714285</v>
      </c>
      <c r="CA24">
        <v>0.15384615384615385</v>
      </c>
      <c r="CB24">
        <v>0.14285714285714285</v>
      </c>
    </row>
    <row r="25" spans="52:80" x14ac:dyDescent="0.25">
      <c r="AZ25" s="25">
        <v>22</v>
      </c>
      <c r="BA25" s="25">
        <v>0.25086691670634931</v>
      </c>
      <c r="BB25" s="25">
        <v>0</v>
      </c>
      <c r="BC25" s="25">
        <v>5</v>
      </c>
      <c r="BD25" s="25">
        <v>4.29</v>
      </c>
      <c r="BZ25">
        <v>0.14906832298136646</v>
      </c>
      <c r="CA25">
        <v>0.15384615384615385</v>
      </c>
      <c r="CB25">
        <v>0.14906832298136646</v>
      </c>
    </row>
    <row r="26" spans="52:80" x14ac:dyDescent="0.25">
      <c r="AZ26" s="25">
        <v>23</v>
      </c>
      <c r="BA26" s="25">
        <v>0.24967874791753278</v>
      </c>
      <c r="BB26" s="25">
        <v>0</v>
      </c>
      <c r="BC26" s="25">
        <v>5</v>
      </c>
      <c r="BD26" s="25">
        <v>4.4850000000000003</v>
      </c>
      <c r="BZ26">
        <v>0.18012422360248448</v>
      </c>
      <c r="CA26">
        <v>0.15384615384615385</v>
      </c>
      <c r="CB26">
        <v>0.18012422360248448</v>
      </c>
    </row>
    <row r="27" spans="52:80" x14ac:dyDescent="0.25">
      <c r="AZ27" s="25">
        <v>24</v>
      </c>
      <c r="BA27" s="25">
        <v>0.2484943399125106</v>
      </c>
      <c r="BB27" s="25">
        <v>0</v>
      </c>
      <c r="BC27" s="25">
        <v>5</v>
      </c>
      <c r="BD27" s="25">
        <v>4.68</v>
      </c>
      <c r="BZ27">
        <v>0.19875776397515527</v>
      </c>
      <c r="CA27">
        <v>0.15384615384615385</v>
      </c>
      <c r="CB27">
        <v>0.19875776397515527</v>
      </c>
    </row>
    <row r="28" spans="52:80" x14ac:dyDescent="0.25">
      <c r="AZ28" s="25">
        <v>25</v>
      </c>
      <c r="BA28" s="25">
        <v>0.24731369849749185</v>
      </c>
      <c r="BB28" s="25">
        <v>0</v>
      </c>
      <c r="BC28" s="25">
        <v>5</v>
      </c>
      <c r="BD28" s="25">
        <v>4.875</v>
      </c>
      <c r="BZ28">
        <v>0.19875776397515527</v>
      </c>
      <c r="CA28">
        <v>0.17948717948717949</v>
      </c>
      <c r="CB28">
        <v>0.19875776397515527</v>
      </c>
    </row>
    <row r="29" spans="52:80" x14ac:dyDescent="0.25">
      <c r="AZ29" s="25">
        <v>26</v>
      </c>
      <c r="BA29" s="25">
        <v>0.24731369849749185</v>
      </c>
      <c r="BB29" s="25">
        <v>0</v>
      </c>
      <c r="BC29" s="25">
        <v>5</v>
      </c>
      <c r="BD29" s="25">
        <v>5.07</v>
      </c>
      <c r="BZ29">
        <v>0.21118012422360249</v>
      </c>
      <c r="CA29">
        <v>0.17948717948717949</v>
      </c>
      <c r="CB29">
        <v>0.21118012422360249</v>
      </c>
    </row>
    <row r="30" spans="52:80" x14ac:dyDescent="0.25">
      <c r="AZ30" s="25">
        <v>27</v>
      </c>
      <c r="BA30" s="25">
        <v>0.24731369849749185</v>
      </c>
      <c r="BB30" s="25">
        <v>0</v>
      </c>
      <c r="BC30" s="25">
        <v>5</v>
      </c>
      <c r="BD30" s="25">
        <v>5.2650000000000006</v>
      </c>
      <c r="BZ30">
        <v>0.21739130434782608</v>
      </c>
      <c r="CA30">
        <v>0.17948717948717949</v>
      </c>
      <c r="CB30">
        <v>0.21739130434782608</v>
      </c>
    </row>
    <row r="31" spans="52:80" x14ac:dyDescent="0.25">
      <c r="AZ31" s="25">
        <v>28</v>
      </c>
      <c r="BA31" s="25">
        <v>0.2461368292912646</v>
      </c>
      <c r="BB31" s="25">
        <v>0</v>
      </c>
      <c r="BC31" s="25">
        <v>5</v>
      </c>
      <c r="BD31" s="25">
        <v>5.46</v>
      </c>
      <c r="BZ31">
        <v>0.2236024844720497</v>
      </c>
      <c r="CA31">
        <v>0.20512820512820512</v>
      </c>
      <c r="CB31">
        <v>0.2236024844720497</v>
      </c>
    </row>
    <row r="32" spans="52:80" x14ac:dyDescent="0.25">
      <c r="AZ32" s="25">
        <v>29</v>
      </c>
      <c r="BA32" s="25">
        <v>0.24379442904804977</v>
      </c>
      <c r="BB32" s="25">
        <v>1</v>
      </c>
      <c r="BC32" s="25">
        <v>6</v>
      </c>
      <c r="BD32" s="25">
        <v>5.6550000000000002</v>
      </c>
      <c r="BZ32">
        <v>0.2236024844720497</v>
      </c>
      <c r="CA32">
        <v>0.23076923076923078</v>
      </c>
      <c r="CB32">
        <v>0.2236024844720497</v>
      </c>
    </row>
    <row r="33" spans="9:80" x14ac:dyDescent="0.25">
      <c r="AZ33" s="25">
        <v>30</v>
      </c>
      <c r="BA33" s="25">
        <v>0.24262890831880971</v>
      </c>
      <c r="BB33" s="25">
        <v>0</v>
      </c>
      <c r="BC33" s="25">
        <v>6</v>
      </c>
      <c r="BD33" s="25">
        <v>5.8500000000000005</v>
      </c>
      <c r="BZ33">
        <v>0.22981366459627328</v>
      </c>
      <c r="CA33">
        <v>0.23076923076923078</v>
      </c>
      <c r="CB33">
        <v>0.22981366459627328</v>
      </c>
    </row>
    <row r="34" spans="9:80" x14ac:dyDescent="0.25">
      <c r="AZ34" s="25">
        <v>31</v>
      </c>
      <c r="BA34" s="25">
        <v>0.24146718041552676</v>
      </c>
      <c r="BB34" s="25">
        <v>0</v>
      </c>
      <c r="BC34" s="25">
        <v>6</v>
      </c>
      <c r="BD34" s="25">
        <v>6.0449999999999999</v>
      </c>
      <c r="BZ34">
        <v>0.2360248447204969</v>
      </c>
      <c r="CA34">
        <v>0.23076923076923078</v>
      </c>
      <c r="CB34">
        <v>0.2360248447204969</v>
      </c>
    </row>
    <row r="35" spans="9:80" x14ac:dyDescent="0.25">
      <c r="AZ35" s="25">
        <v>32</v>
      </c>
      <c r="BA35" s="25">
        <v>0.24146718041552676</v>
      </c>
      <c r="BB35" s="25">
        <v>0</v>
      </c>
      <c r="BC35" s="25">
        <v>6</v>
      </c>
      <c r="BD35" s="25">
        <v>6.24</v>
      </c>
      <c r="BZ35">
        <v>0.2484472049689441</v>
      </c>
      <c r="CA35">
        <v>0.23076923076923078</v>
      </c>
      <c r="CB35">
        <v>0.2484472049689441</v>
      </c>
    </row>
    <row r="36" spans="9:80" x14ac:dyDescent="0.25">
      <c r="AZ36" s="25">
        <v>33</v>
      </c>
      <c r="BA36" s="25">
        <v>0.24146718041552676</v>
      </c>
      <c r="BB36" s="25">
        <v>0</v>
      </c>
      <c r="BC36" s="25">
        <v>6</v>
      </c>
      <c r="BD36" s="25">
        <v>6.4350000000000005</v>
      </c>
      <c r="BZ36">
        <v>0.2608695652173913</v>
      </c>
      <c r="CA36">
        <v>0.23076923076923078</v>
      </c>
      <c r="CB36">
        <v>0.2608695652173913</v>
      </c>
    </row>
    <row r="37" spans="9:80" x14ac:dyDescent="0.25">
      <c r="AZ37" s="25">
        <v>34</v>
      </c>
      <c r="BA37" s="25">
        <v>0.24146718041552676</v>
      </c>
      <c r="BB37" s="25">
        <v>0</v>
      </c>
      <c r="BC37" s="25">
        <v>6</v>
      </c>
      <c r="BD37" s="25">
        <v>6.63</v>
      </c>
      <c r="BZ37">
        <v>0.2608695652173913</v>
      </c>
      <c r="CA37">
        <v>0.28205128205128205</v>
      </c>
      <c r="CB37">
        <v>0.2608695652173913</v>
      </c>
    </row>
    <row r="38" spans="9:80" x14ac:dyDescent="0.25">
      <c r="I38" s="10" t="s">
        <v>57</v>
      </c>
      <c r="J38" s="10" t="s">
        <v>58</v>
      </c>
      <c r="K38" s="10" t="s">
        <v>59</v>
      </c>
      <c r="L38" s="10" t="s">
        <v>60</v>
      </c>
      <c r="M38" s="10" t="s">
        <v>61</v>
      </c>
      <c r="AZ38" s="25">
        <v>35</v>
      </c>
      <c r="BA38" s="25">
        <v>0.24146718041552676</v>
      </c>
      <c r="BB38" s="25">
        <v>0</v>
      </c>
      <c r="BC38" s="25">
        <v>6</v>
      </c>
      <c r="BD38" s="25">
        <v>6.8250000000000002</v>
      </c>
      <c r="BZ38">
        <v>0.27329192546583853</v>
      </c>
      <c r="CA38">
        <v>0.28205128205128205</v>
      </c>
      <c r="CB38">
        <v>0.27329192546583853</v>
      </c>
    </row>
    <row r="39" spans="9:80" x14ac:dyDescent="0.25">
      <c r="I39" s="9">
        <v>1</v>
      </c>
      <c r="J39" s="7">
        <v>0.2</v>
      </c>
      <c r="K39" s="7">
        <v>0.41039134083406165</v>
      </c>
      <c r="L39" s="7">
        <v>0</v>
      </c>
      <c r="M39" s="7">
        <v>1</v>
      </c>
      <c r="AZ39" s="25">
        <v>36</v>
      </c>
      <c r="BA39" s="25">
        <v>0.2391551216803047</v>
      </c>
      <c r="BB39" s="25">
        <v>0</v>
      </c>
      <c r="BC39" s="25">
        <v>6</v>
      </c>
      <c r="BD39" s="25">
        <v>7.0200000000000005</v>
      </c>
      <c r="BZ39">
        <v>0.27329192546583853</v>
      </c>
      <c r="CA39">
        <v>0.30769230769230771</v>
      </c>
      <c r="CB39">
        <v>0.27329192546583853</v>
      </c>
    </row>
    <row r="40" spans="9:80" x14ac:dyDescent="0.25">
      <c r="I40" s="9">
        <v>2</v>
      </c>
      <c r="J40" s="7">
        <v>0.15</v>
      </c>
      <c r="K40" s="7">
        <v>0.36634754853252316</v>
      </c>
      <c r="L40" s="7">
        <v>0</v>
      </c>
      <c r="M40" s="7">
        <v>1</v>
      </c>
      <c r="AZ40" s="25">
        <v>37</v>
      </c>
      <c r="BA40" s="25">
        <v>0.2391551216803047</v>
      </c>
      <c r="BB40" s="25">
        <v>0</v>
      </c>
      <c r="BC40" s="25">
        <v>6</v>
      </c>
      <c r="BD40" s="25">
        <v>7.2149999999999999</v>
      </c>
      <c r="BZ40">
        <v>0.27950310559006208</v>
      </c>
      <c r="CA40">
        <v>0.30769230769230771</v>
      </c>
      <c r="CB40">
        <v>0.27950310559006208</v>
      </c>
    </row>
    <row r="41" spans="9:80" x14ac:dyDescent="0.25">
      <c r="I41" s="9">
        <v>3</v>
      </c>
      <c r="J41" s="7">
        <v>0.3</v>
      </c>
      <c r="K41" s="7">
        <v>0.47016234598162721</v>
      </c>
      <c r="L41" s="7">
        <v>0</v>
      </c>
      <c r="M41" s="7">
        <v>1</v>
      </c>
      <c r="AZ41" s="25">
        <v>38</v>
      </c>
      <c r="BA41" s="25">
        <v>0.2391551216803047</v>
      </c>
      <c r="BB41" s="25">
        <v>0</v>
      </c>
      <c r="BC41" s="25">
        <v>6</v>
      </c>
      <c r="BD41" s="25">
        <v>7.41</v>
      </c>
      <c r="BZ41">
        <v>0.2857142857142857</v>
      </c>
      <c r="CA41">
        <v>0.30769230769230771</v>
      </c>
      <c r="CB41">
        <v>0.2857142857142857</v>
      </c>
    </row>
    <row r="42" spans="9:80" x14ac:dyDescent="0.25">
      <c r="I42" s="9">
        <v>4</v>
      </c>
      <c r="J42" s="7">
        <v>0.2</v>
      </c>
      <c r="K42" s="7">
        <v>0.4103913408340617</v>
      </c>
      <c r="L42" s="7">
        <v>0</v>
      </c>
      <c r="M42" s="7">
        <v>1</v>
      </c>
      <c r="AZ42" s="25">
        <v>39</v>
      </c>
      <c r="BA42" s="25">
        <v>0.23685828821051477</v>
      </c>
      <c r="BB42" s="25">
        <v>1</v>
      </c>
      <c r="BC42" s="25">
        <v>7</v>
      </c>
      <c r="BD42" s="25">
        <v>7.6050000000000004</v>
      </c>
      <c r="BZ42">
        <v>0.29192546583850931</v>
      </c>
      <c r="CA42">
        <v>0.33333333333333331</v>
      </c>
      <c r="CB42">
        <v>0.29192546583850931</v>
      </c>
    </row>
    <row r="43" spans="9:80" x14ac:dyDescent="0.25">
      <c r="I43" s="9">
        <v>5</v>
      </c>
      <c r="J43" s="7">
        <v>0.45</v>
      </c>
      <c r="K43" s="7">
        <v>0.51041778553404049</v>
      </c>
      <c r="L43" s="7">
        <v>0</v>
      </c>
      <c r="M43" s="7">
        <v>1</v>
      </c>
      <c r="AZ43" s="25">
        <v>40</v>
      </c>
      <c r="BA43" s="25">
        <v>0.23457671248419984</v>
      </c>
      <c r="BB43" s="25">
        <v>0</v>
      </c>
      <c r="BC43" s="25">
        <v>7</v>
      </c>
      <c r="BD43" s="25">
        <v>7.8000000000000007</v>
      </c>
      <c r="BZ43">
        <v>0.29192546583850931</v>
      </c>
      <c r="CA43">
        <v>0.35897435897435898</v>
      </c>
      <c r="CB43">
        <v>0.29192546583850931</v>
      </c>
    </row>
    <row r="44" spans="9:80" x14ac:dyDescent="0.25">
      <c r="I44" s="9">
        <v>6</v>
      </c>
      <c r="J44" s="7">
        <v>0.35</v>
      </c>
      <c r="K44" s="7">
        <v>0.48936048492959283</v>
      </c>
      <c r="L44" s="7">
        <v>0</v>
      </c>
      <c r="M44" s="7">
        <v>1</v>
      </c>
      <c r="AZ44" s="24">
        <v>41</v>
      </c>
      <c r="BA44" s="24">
        <v>0.23457671248419984</v>
      </c>
      <c r="BB44" s="24">
        <v>0</v>
      </c>
      <c r="BC44" s="24">
        <v>7</v>
      </c>
      <c r="BD44" s="24">
        <v>7.9950000000000001</v>
      </c>
      <c r="BZ44">
        <v>0.3105590062111801</v>
      </c>
      <c r="CA44">
        <v>0.38461538461538464</v>
      </c>
      <c r="CB44">
        <v>0.3105590062111801</v>
      </c>
    </row>
    <row r="45" spans="9:80" x14ac:dyDescent="0.25">
      <c r="I45" s="9">
        <v>7</v>
      </c>
      <c r="J45" s="7">
        <v>0.1</v>
      </c>
      <c r="K45" s="7">
        <v>0.30779350562554625</v>
      </c>
      <c r="L45" s="7">
        <v>0</v>
      </c>
      <c r="M45" s="7">
        <v>1</v>
      </c>
      <c r="AZ45" s="24">
        <v>42</v>
      </c>
      <c r="BA45" s="24">
        <v>0.23344165564113931</v>
      </c>
      <c r="BB45" s="24">
        <v>0</v>
      </c>
      <c r="BC45" s="24">
        <v>7</v>
      </c>
      <c r="BD45" s="24">
        <v>8.19</v>
      </c>
      <c r="BZ45">
        <v>0.34161490683229812</v>
      </c>
      <c r="CA45">
        <v>0.41025641025641024</v>
      </c>
      <c r="CB45">
        <v>0.34161490683229812</v>
      </c>
    </row>
    <row r="46" spans="9:80" x14ac:dyDescent="0.25">
      <c r="I46" s="9">
        <v>8</v>
      </c>
      <c r="J46" s="7">
        <v>0.1</v>
      </c>
      <c r="K46" s="7">
        <v>0.30779350562554625</v>
      </c>
      <c r="L46" s="7">
        <v>0</v>
      </c>
      <c r="M46" s="7">
        <v>1</v>
      </c>
      <c r="AZ46" s="24">
        <v>43</v>
      </c>
      <c r="BA46" s="24">
        <v>0.23118302117627954</v>
      </c>
      <c r="BB46" s="24">
        <v>0</v>
      </c>
      <c r="BC46" s="24">
        <v>7</v>
      </c>
      <c r="BD46" s="24">
        <v>8.3849999999999998</v>
      </c>
      <c r="BZ46">
        <v>0.34782608695652173</v>
      </c>
      <c r="CA46">
        <v>0.41025641025641024</v>
      </c>
      <c r="CB46">
        <v>0.34782608695652173</v>
      </c>
    </row>
    <row r="47" spans="9:80" x14ac:dyDescent="0.25">
      <c r="I47" s="9">
        <v>9</v>
      </c>
      <c r="J47" s="7">
        <v>0.1</v>
      </c>
      <c r="K47" s="7">
        <v>0.30779350562554625</v>
      </c>
      <c r="L47" s="7">
        <v>0</v>
      </c>
      <c r="M47" s="7">
        <v>1</v>
      </c>
      <c r="AZ47" s="24">
        <v>44</v>
      </c>
      <c r="BA47" s="24">
        <v>0.23118302117627954</v>
      </c>
      <c r="BB47" s="24">
        <v>1</v>
      </c>
      <c r="BC47" s="24">
        <v>8</v>
      </c>
      <c r="BD47" s="24">
        <v>8.58</v>
      </c>
      <c r="BZ47">
        <v>0.36024844720496896</v>
      </c>
      <c r="CA47">
        <v>0.4358974358974359</v>
      </c>
      <c r="CB47">
        <v>0.36024844720496896</v>
      </c>
    </row>
    <row r="48" spans="9:80" x14ac:dyDescent="0.25">
      <c r="I48" s="9">
        <v>10</v>
      </c>
      <c r="J48" s="7">
        <v>0</v>
      </c>
      <c r="K48" s="7">
        <v>0</v>
      </c>
      <c r="L48" s="7">
        <v>0</v>
      </c>
      <c r="M48" s="7">
        <v>0</v>
      </c>
      <c r="AZ48" s="24">
        <v>45</v>
      </c>
      <c r="BA48" s="24">
        <v>0.23005944989951957</v>
      </c>
      <c r="BB48" s="24">
        <v>1</v>
      </c>
      <c r="BC48" s="24">
        <v>9</v>
      </c>
      <c r="BD48" s="24">
        <v>8.7750000000000004</v>
      </c>
      <c r="BZ48">
        <v>0.37888198757763975</v>
      </c>
      <c r="CA48">
        <v>0.4358974358974359</v>
      </c>
      <c r="CB48">
        <v>0.37888198757763975</v>
      </c>
    </row>
    <row r="49" spans="52:80" x14ac:dyDescent="0.25">
      <c r="AZ49" s="24">
        <v>46</v>
      </c>
      <c r="BA49" s="24">
        <v>0.22782381381309177</v>
      </c>
      <c r="BB49" s="24">
        <v>0</v>
      </c>
      <c r="BC49" s="24">
        <v>9</v>
      </c>
      <c r="BD49" s="24">
        <v>8.9700000000000006</v>
      </c>
      <c r="BZ49">
        <v>0.39130434782608697</v>
      </c>
      <c r="CA49">
        <v>0.4358974358974359</v>
      </c>
      <c r="CB49">
        <v>0.39130434782608697</v>
      </c>
    </row>
    <row r="50" spans="52:80" x14ac:dyDescent="0.25">
      <c r="AZ50" s="24">
        <v>47</v>
      </c>
      <c r="BA50" s="24">
        <v>0.22671175430712215</v>
      </c>
      <c r="BB50" s="24">
        <v>0</v>
      </c>
      <c r="BC50" s="24">
        <v>9</v>
      </c>
      <c r="BD50" s="24">
        <v>9.1650000000000009</v>
      </c>
      <c r="BZ50">
        <v>0.39130434782608697</v>
      </c>
      <c r="CA50">
        <v>0.46153846153846156</v>
      </c>
      <c r="CB50">
        <v>0.39130434782608697</v>
      </c>
    </row>
    <row r="51" spans="52:80" x14ac:dyDescent="0.25">
      <c r="AZ51" s="24">
        <v>48</v>
      </c>
      <c r="BA51" s="24">
        <v>0.22560353707599728</v>
      </c>
      <c r="BB51" s="24">
        <v>0</v>
      </c>
      <c r="BC51" s="24">
        <v>9</v>
      </c>
      <c r="BD51" s="24">
        <v>9.36</v>
      </c>
      <c r="BZ51">
        <v>0.39130434782608697</v>
      </c>
      <c r="CA51">
        <v>0.48717948717948717</v>
      </c>
      <c r="CB51">
        <v>0.39130434782608697</v>
      </c>
    </row>
    <row r="52" spans="52:80" x14ac:dyDescent="0.25">
      <c r="AZ52" s="24">
        <v>49</v>
      </c>
      <c r="BA52" s="24">
        <v>0.22560353707599728</v>
      </c>
      <c r="BB52" s="24">
        <v>0</v>
      </c>
      <c r="BC52" s="24">
        <v>9</v>
      </c>
      <c r="BD52" s="24">
        <v>9.5549999999999997</v>
      </c>
      <c r="BZ52">
        <v>0.40372670807453415</v>
      </c>
      <c r="CA52">
        <v>0.51282051282051277</v>
      </c>
      <c r="CB52">
        <v>0.40372670807453415</v>
      </c>
    </row>
    <row r="53" spans="52:80" x14ac:dyDescent="0.25">
      <c r="AZ53" s="24">
        <v>50</v>
      </c>
      <c r="BA53" s="24">
        <v>0.22449916434440828</v>
      </c>
      <c r="BB53" s="24">
        <v>0</v>
      </c>
      <c r="BC53" s="24">
        <v>9</v>
      </c>
      <c r="BD53" s="24">
        <v>9.75</v>
      </c>
      <c r="BZ53">
        <v>0.40372670807453415</v>
      </c>
      <c r="CA53">
        <v>0.53846153846153844</v>
      </c>
      <c r="CB53">
        <v>0.40372670807453415</v>
      </c>
    </row>
    <row r="54" spans="52:80" x14ac:dyDescent="0.25">
      <c r="AZ54" s="24">
        <v>51</v>
      </c>
      <c r="BA54" s="24">
        <v>0.22449916434440828</v>
      </c>
      <c r="BB54" s="24">
        <v>0</v>
      </c>
      <c r="BC54" s="24">
        <v>9</v>
      </c>
      <c r="BD54" s="24">
        <v>9.9450000000000003</v>
      </c>
      <c r="BZ54">
        <v>0.42857142857142855</v>
      </c>
      <c r="CA54">
        <v>0.53846153846153844</v>
      </c>
      <c r="CB54">
        <v>0.42857142857142855</v>
      </c>
    </row>
    <row r="55" spans="52:80" x14ac:dyDescent="0.25">
      <c r="AZ55" s="24">
        <v>52</v>
      </c>
      <c r="BA55" s="24">
        <v>0.22339863816801717</v>
      </c>
      <c r="BB55" s="24">
        <v>1</v>
      </c>
      <c r="BC55" s="24">
        <v>10</v>
      </c>
      <c r="BD55" s="24">
        <v>10.14</v>
      </c>
      <c r="BZ55">
        <v>0.43478260869565216</v>
      </c>
      <c r="CA55">
        <v>0.58974358974358976</v>
      </c>
      <c r="CB55">
        <v>0.43478260869565216</v>
      </c>
    </row>
    <row r="56" spans="52:80" x14ac:dyDescent="0.25">
      <c r="AZ56" s="24">
        <v>53</v>
      </c>
      <c r="BA56" s="24">
        <v>0.22339863816801717</v>
      </c>
      <c r="BB56" s="24">
        <v>1</v>
      </c>
      <c r="BC56" s="24">
        <v>11</v>
      </c>
      <c r="BD56" s="24">
        <v>10.335000000000001</v>
      </c>
      <c r="BZ56">
        <v>0.44720496894409939</v>
      </c>
      <c r="CA56">
        <v>0.58974358974358976</v>
      </c>
      <c r="CB56">
        <v>0.44720496894409939</v>
      </c>
    </row>
    <row r="57" spans="52:80" x14ac:dyDescent="0.25">
      <c r="AZ57" s="24">
        <v>54</v>
      </c>
      <c r="BA57" s="24">
        <v>0.22230196043449058</v>
      </c>
      <c r="BB57" s="24">
        <v>0</v>
      </c>
      <c r="BC57" s="24">
        <v>11</v>
      </c>
      <c r="BD57" s="24">
        <v>10.530000000000001</v>
      </c>
      <c r="BZ57">
        <v>0.453416149068323</v>
      </c>
      <c r="CA57">
        <v>0.64102564102564108</v>
      </c>
      <c r="CB57">
        <v>0.453416149068323</v>
      </c>
    </row>
    <row r="58" spans="52:80" x14ac:dyDescent="0.25">
      <c r="AZ58" s="24">
        <v>55</v>
      </c>
      <c r="BA58" s="24">
        <v>0.22230196043449058</v>
      </c>
      <c r="BB58" s="24">
        <v>0</v>
      </c>
      <c r="BC58" s="24">
        <v>11</v>
      </c>
      <c r="BD58" s="24">
        <v>10.725</v>
      </c>
      <c r="BZ58">
        <v>0.45962732919254656</v>
      </c>
      <c r="CA58">
        <v>0.66666666666666663</v>
      </c>
      <c r="CB58">
        <v>0.45962732919254656</v>
      </c>
    </row>
    <row r="59" spans="52:80" x14ac:dyDescent="0.25">
      <c r="AZ59" s="24">
        <v>56</v>
      </c>
      <c r="BA59" s="24">
        <v>0.22120913286454225</v>
      </c>
      <c r="BB59" s="24">
        <v>1</v>
      </c>
      <c r="BC59" s="24">
        <v>12</v>
      </c>
      <c r="BD59" s="24">
        <v>10.92</v>
      </c>
      <c r="BZ59">
        <v>0.46583850931677018</v>
      </c>
      <c r="CA59">
        <v>0.66666666666666663</v>
      </c>
      <c r="CB59">
        <v>0.46583850931677018</v>
      </c>
    </row>
    <row r="60" spans="52:80" x14ac:dyDescent="0.25">
      <c r="AZ60" s="24">
        <v>57</v>
      </c>
      <c r="BA60" s="24">
        <v>0.22012015701298474</v>
      </c>
      <c r="BB60" s="24">
        <v>0</v>
      </c>
      <c r="BC60" s="24">
        <v>12</v>
      </c>
      <c r="BD60" s="24">
        <v>11.115</v>
      </c>
      <c r="BZ60">
        <v>0.46583850931677018</v>
      </c>
      <c r="CA60">
        <v>0.69230769230769229</v>
      </c>
      <c r="CB60">
        <v>0.46583850931677018</v>
      </c>
    </row>
    <row r="61" spans="52:80" x14ac:dyDescent="0.25">
      <c r="AZ61" s="24">
        <v>58</v>
      </c>
      <c r="BA61" s="24">
        <v>0.21903503426978932</v>
      </c>
      <c r="BB61" s="24">
        <v>0</v>
      </c>
      <c r="BC61" s="24">
        <v>12</v>
      </c>
      <c r="BD61" s="24">
        <v>11.31</v>
      </c>
      <c r="BZ61">
        <v>0.47826086956521741</v>
      </c>
      <c r="CA61">
        <v>0.71794871794871795</v>
      </c>
      <c r="CB61">
        <v>0.47826086956521741</v>
      </c>
    </row>
    <row r="62" spans="52:80" x14ac:dyDescent="0.25">
      <c r="AZ62" s="24">
        <v>59</v>
      </c>
      <c r="BA62" s="24">
        <v>0.21795376586115467</v>
      </c>
      <c r="BB62" s="24">
        <v>1</v>
      </c>
      <c r="BC62" s="24">
        <v>13</v>
      </c>
      <c r="BD62" s="24">
        <v>11.505000000000001</v>
      </c>
      <c r="BZ62">
        <v>0.47826086956521741</v>
      </c>
      <c r="CA62">
        <v>0.74358974358974361</v>
      </c>
      <c r="CB62">
        <v>0.47826086956521741</v>
      </c>
    </row>
    <row r="63" spans="52:80" x14ac:dyDescent="0.25">
      <c r="AZ63" s="24">
        <v>60</v>
      </c>
      <c r="BA63" s="24">
        <v>0.21795376586115467</v>
      </c>
      <c r="BB63" s="24">
        <v>0</v>
      </c>
      <c r="BC63" s="24">
        <v>13</v>
      </c>
      <c r="BD63" s="24">
        <v>11.700000000000001</v>
      </c>
      <c r="BZ63">
        <v>0.48447204968944102</v>
      </c>
      <c r="CA63">
        <v>0.74358974358974361</v>
      </c>
      <c r="CB63">
        <v>0.48447204968944102</v>
      </c>
    </row>
    <row r="64" spans="52:80" x14ac:dyDescent="0.25">
      <c r="AZ64" s="25">
        <v>61</v>
      </c>
      <c r="BA64" s="25">
        <v>0.21687635285058307</v>
      </c>
      <c r="BB64" s="25">
        <v>1</v>
      </c>
      <c r="BC64" s="25">
        <v>14</v>
      </c>
      <c r="BD64" s="25">
        <v>11.895</v>
      </c>
      <c r="BZ64">
        <v>0.50931677018633537</v>
      </c>
      <c r="CA64">
        <v>0.74358974358974361</v>
      </c>
      <c r="CB64">
        <v>0.50931677018633537</v>
      </c>
    </row>
    <row r="65" spans="52:80" x14ac:dyDescent="0.25">
      <c r="AZ65" s="25">
        <v>62</v>
      </c>
      <c r="BA65" s="25">
        <v>0.21580279613996525</v>
      </c>
      <c r="BB65" s="25">
        <v>0</v>
      </c>
      <c r="BC65" s="25">
        <v>14</v>
      </c>
      <c r="BD65" s="25">
        <v>12.09</v>
      </c>
      <c r="BZ65">
        <v>0.52173913043478259</v>
      </c>
      <c r="CA65">
        <v>0.76923076923076927</v>
      </c>
      <c r="CB65">
        <v>0.52173913043478259</v>
      </c>
    </row>
    <row r="66" spans="52:80" x14ac:dyDescent="0.25">
      <c r="AZ66" s="25">
        <v>63</v>
      </c>
      <c r="BA66" s="25">
        <v>0.21580279613996525</v>
      </c>
      <c r="BB66" s="25">
        <v>1</v>
      </c>
      <c r="BC66" s="25">
        <v>15</v>
      </c>
      <c r="BD66" s="25">
        <v>12.285</v>
      </c>
      <c r="BZ66">
        <v>0.52795031055900621</v>
      </c>
      <c r="CA66">
        <v>0.76923076923076927</v>
      </c>
      <c r="CB66">
        <v>0.52795031055900621</v>
      </c>
    </row>
    <row r="67" spans="52:80" x14ac:dyDescent="0.25">
      <c r="AZ67" s="25">
        <v>64</v>
      </c>
      <c r="BA67" s="25">
        <v>0.21580279613996525</v>
      </c>
      <c r="BB67" s="25">
        <v>0</v>
      </c>
      <c r="BC67" s="25">
        <v>15</v>
      </c>
      <c r="BD67" s="25">
        <v>12.48</v>
      </c>
      <c r="BZ67">
        <v>0.52795031055900621</v>
      </c>
      <c r="CA67">
        <v>0.79487179487179482</v>
      </c>
      <c r="CB67">
        <v>0.52795031055900621</v>
      </c>
    </row>
    <row r="68" spans="52:80" x14ac:dyDescent="0.25">
      <c r="AZ68" s="25">
        <v>65</v>
      </c>
      <c r="BA68" s="25">
        <v>0.21580279613996525</v>
      </c>
      <c r="BB68" s="25">
        <v>0</v>
      </c>
      <c r="BC68" s="25">
        <v>15</v>
      </c>
      <c r="BD68" s="25">
        <v>12.675000000000001</v>
      </c>
      <c r="BZ68">
        <v>0.53416149068322982</v>
      </c>
      <c r="CA68">
        <v>0.79487179487179482</v>
      </c>
      <c r="CB68">
        <v>0.53416149068322982</v>
      </c>
    </row>
    <row r="69" spans="52:80" x14ac:dyDescent="0.25">
      <c r="AZ69" s="25">
        <v>66</v>
      </c>
      <c r="BA69" s="25">
        <v>0.21366725442465345</v>
      </c>
      <c r="BB69" s="25">
        <v>0</v>
      </c>
      <c r="BC69" s="25">
        <v>15</v>
      </c>
      <c r="BD69" s="25">
        <v>12.870000000000001</v>
      </c>
      <c r="BZ69">
        <v>0.53416149068322982</v>
      </c>
      <c r="CA69">
        <v>0.82051282051282048</v>
      </c>
      <c r="CB69">
        <v>0.53416149068322982</v>
      </c>
    </row>
    <row r="70" spans="52:80" x14ac:dyDescent="0.25">
      <c r="AZ70" s="25">
        <v>67</v>
      </c>
      <c r="BA70" s="25">
        <v>0.21366725442465345</v>
      </c>
      <c r="BB70" s="25">
        <v>0</v>
      </c>
      <c r="BC70" s="25">
        <v>15</v>
      </c>
      <c r="BD70" s="25">
        <v>13.065000000000001</v>
      </c>
      <c r="BZ70">
        <v>0.54037267080745344</v>
      </c>
      <c r="CA70">
        <v>0.82051282051282048</v>
      </c>
      <c r="CB70">
        <v>0.54037267080745344</v>
      </c>
    </row>
    <row r="71" spans="52:80" x14ac:dyDescent="0.25">
      <c r="AZ71" s="25">
        <v>68</v>
      </c>
      <c r="BA71" s="25">
        <v>0.21366725442465345</v>
      </c>
      <c r="BB71" s="25">
        <v>1</v>
      </c>
      <c r="BC71" s="25">
        <v>16</v>
      </c>
      <c r="BD71" s="25">
        <v>13.26</v>
      </c>
      <c r="BZ71">
        <v>0.54658385093167705</v>
      </c>
      <c r="CA71">
        <v>0.84615384615384615</v>
      </c>
      <c r="CB71">
        <v>0.54658385093167705</v>
      </c>
    </row>
    <row r="72" spans="52:80" x14ac:dyDescent="0.25">
      <c r="AZ72" s="25">
        <v>69</v>
      </c>
      <c r="BA72" s="25">
        <v>0.21366725442465345</v>
      </c>
      <c r="BB72" s="25">
        <v>0</v>
      </c>
      <c r="BC72" s="25">
        <v>16</v>
      </c>
      <c r="BD72" s="25">
        <v>13.455</v>
      </c>
      <c r="BZ72">
        <v>0.5714285714285714</v>
      </c>
      <c r="CA72">
        <v>0.84615384615384615</v>
      </c>
      <c r="CB72">
        <v>0.5714285714285714</v>
      </c>
    </row>
    <row r="73" spans="52:80" x14ac:dyDescent="0.25">
      <c r="AZ73" s="25">
        <v>70</v>
      </c>
      <c r="BA73" s="25">
        <v>0.21366725442465345</v>
      </c>
      <c r="BB73" s="25">
        <v>0</v>
      </c>
      <c r="BC73" s="25">
        <v>16</v>
      </c>
      <c r="BD73" s="25">
        <v>13.65</v>
      </c>
      <c r="BZ73">
        <v>0.58385093167701863</v>
      </c>
      <c r="CA73">
        <v>0.87179487179487181</v>
      </c>
      <c r="CB73">
        <v>0.58385093167701863</v>
      </c>
    </row>
    <row r="74" spans="52:80" x14ac:dyDescent="0.25">
      <c r="AZ74" s="25">
        <v>71</v>
      </c>
      <c r="BA74" s="25">
        <v>0.21366725442465345</v>
      </c>
      <c r="BB74" s="25">
        <v>0</v>
      </c>
      <c r="BC74" s="25">
        <v>16</v>
      </c>
      <c r="BD74" s="25">
        <v>13.845000000000001</v>
      </c>
      <c r="BZ74">
        <v>0.60248447204968947</v>
      </c>
      <c r="CA74">
        <v>0.87179487179487181</v>
      </c>
      <c r="CB74">
        <v>0.60248447204968947</v>
      </c>
    </row>
    <row r="75" spans="52:80" x14ac:dyDescent="0.25">
      <c r="AZ75" s="25">
        <v>72</v>
      </c>
      <c r="BA75" s="25">
        <v>0.21260527042554705</v>
      </c>
      <c r="BB75" s="25">
        <v>0</v>
      </c>
      <c r="BC75" s="25">
        <v>16</v>
      </c>
      <c r="BD75" s="25">
        <v>14.040000000000001</v>
      </c>
      <c r="BZ75">
        <v>0.6149068322981367</v>
      </c>
      <c r="CA75">
        <v>0.87179487179487181</v>
      </c>
      <c r="CB75">
        <v>0.6149068322981367</v>
      </c>
    </row>
    <row r="76" spans="52:80" x14ac:dyDescent="0.25">
      <c r="AZ76" s="25">
        <v>73</v>
      </c>
      <c r="BA76" s="25">
        <v>0.21154714473978944</v>
      </c>
      <c r="BB76" s="25">
        <v>0</v>
      </c>
      <c r="BC76" s="25">
        <v>16</v>
      </c>
      <c r="BD76" s="25">
        <v>14.235000000000001</v>
      </c>
      <c r="BZ76">
        <v>0.62732919254658381</v>
      </c>
      <c r="CA76">
        <v>0.87179487179487181</v>
      </c>
      <c r="CB76">
        <v>0.62732919254658381</v>
      </c>
    </row>
    <row r="77" spans="52:80" x14ac:dyDescent="0.25">
      <c r="AZ77" s="25">
        <v>74</v>
      </c>
      <c r="BA77" s="25">
        <v>0.21154714473978944</v>
      </c>
      <c r="BB77" s="25">
        <v>1</v>
      </c>
      <c r="BC77" s="25">
        <v>17</v>
      </c>
      <c r="BD77" s="25">
        <v>14.43</v>
      </c>
      <c r="BZ77">
        <v>0.63975155279503104</v>
      </c>
      <c r="CA77">
        <v>0.89743589743589747</v>
      </c>
      <c r="CB77">
        <v>0.63975155279503104</v>
      </c>
    </row>
    <row r="78" spans="52:80" x14ac:dyDescent="0.25">
      <c r="AZ78" s="25">
        <v>75</v>
      </c>
      <c r="BA78" s="25">
        <v>0.21154714473978944</v>
      </c>
      <c r="BB78" s="25">
        <v>0</v>
      </c>
      <c r="BC78" s="25">
        <v>17</v>
      </c>
      <c r="BD78" s="25">
        <v>14.625</v>
      </c>
      <c r="BZ78">
        <v>0.65217391304347827</v>
      </c>
      <c r="CA78">
        <v>0.89743589743589747</v>
      </c>
      <c r="CB78">
        <v>0.65217391304347827</v>
      </c>
    </row>
    <row r="79" spans="52:80" x14ac:dyDescent="0.25">
      <c r="AZ79" s="25">
        <v>76</v>
      </c>
      <c r="BA79" s="25">
        <v>0.21049287747773748</v>
      </c>
      <c r="BB79" s="25">
        <v>0</v>
      </c>
      <c r="BC79" s="25">
        <v>17</v>
      </c>
      <c r="BD79" s="25">
        <v>14.82</v>
      </c>
      <c r="BZ79">
        <v>0.65838509316770188</v>
      </c>
      <c r="CA79">
        <v>0.89743589743589747</v>
      </c>
      <c r="CB79">
        <v>0.65838509316770188</v>
      </c>
    </row>
    <row r="80" spans="52:80" x14ac:dyDescent="0.25">
      <c r="AZ80" s="25">
        <v>77</v>
      </c>
      <c r="BA80" s="25">
        <v>0.21049287747773748</v>
      </c>
      <c r="BB80" s="25">
        <v>0</v>
      </c>
      <c r="BC80" s="25">
        <v>17</v>
      </c>
      <c r="BD80" s="25">
        <v>15.015000000000001</v>
      </c>
      <c r="BZ80">
        <v>0.6645962732919255</v>
      </c>
      <c r="CA80">
        <v>0.89743589743589747</v>
      </c>
      <c r="CB80">
        <v>0.6645962732919255</v>
      </c>
    </row>
    <row r="81" spans="52:80" x14ac:dyDescent="0.25">
      <c r="AZ81" s="25">
        <v>78</v>
      </c>
      <c r="BA81" s="25">
        <v>0.21049287747773748</v>
      </c>
      <c r="BB81" s="25">
        <v>0</v>
      </c>
      <c r="BC81" s="25">
        <v>17</v>
      </c>
      <c r="BD81" s="25">
        <v>15.21</v>
      </c>
      <c r="BZ81">
        <v>0.67701863354037262</v>
      </c>
      <c r="CA81">
        <v>0.89743589743589747</v>
      </c>
      <c r="CB81">
        <v>0.67701863354037262</v>
      </c>
    </row>
    <row r="82" spans="52:80" x14ac:dyDescent="0.25">
      <c r="AZ82" s="25">
        <v>79</v>
      </c>
      <c r="BA82" s="25">
        <v>0.20944246859479526</v>
      </c>
      <c r="BB82" s="25">
        <v>0</v>
      </c>
      <c r="BC82" s="25">
        <v>17</v>
      </c>
      <c r="BD82" s="25">
        <v>15.405000000000001</v>
      </c>
      <c r="BZ82">
        <v>0.68944099378881984</v>
      </c>
      <c r="CA82">
        <v>0.89743589743589747</v>
      </c>
      <c r="CB82">
        <v>0.68944099378881984</v>
      </c>
    </row>
    <row r="83" spans="52:80" x14ac:dyDescent="0.25">
      <c r="AZ83" s="25">
        <v>80</v>
      </c>
      <c r="BA83" s="25">
        <v>0.20944246859479526</v>
      </c>
      <c r="BB83" s="25">
        <v>0</v>
      </c>
      <c r="BC83" s="25">
        <v>17</v>
      </c>
      <c r="BD83" s="25">
        <v>15.600000000000001</v>
      </c>
      <c r="BZ83">
        <v>0.69565217391304346</v>
      </c>
      <c r="CA83">
        <v>0.89743589743589747</v>
      </c>
      <c r="CB83">
        <v>0.69565217391304346</v>
      </c>
    </row>
    <row r="84" spans="52:80" x14ac:dyDescent="0.25">
      <c r="AZ84" s="24">
        <v>81</v>
      </c>
      <c r="BA84" s="24">
        <v>0.20839591789254663</v>
      </c>
      <c r="BB84" s="24">
        <v>1</v>
      </c>
      <c r="BC84" s="24">
        <v>18</v>
      </c>
      <c r="BD84" s="24">
        <v>15.795</v>
      </c>
      <c r="BZ84">
        <v>0.69565217391304346</v>
      </c>
      <c r="CA84">
        <v>0.92307692307692313</v>
      </c>
      <c r="CB84">
        <v>0.69565217391304346</v>
      </c>
    </row>
    <row r="85" spans="52:80" x14ac:dyDescent="0.25">
      <c r="AZ85" s="24">
        <v>82</v>
      </c>
      <c r="BA85" s="24">
        <v>0.20735322501989456</v>
      </c>
      <c r="BB85" s="24">
        <v>1</v>
      </c>
      <c r="BC85" s="24">
        <v>19</v>
      </c>
      <c r="BD85" s="24">
        <v>15.99</v>
      </c>
      <c r="BZ85">
        <v>0.70186335403726707</v>
      </c>
      <c r="CA85">
        <v>0.92307692307692313</v>
      </c>
      <c r="CB85">
        <v>0.70186335403726707</v>
      </c>
    </row>
    <row r="86" spans="52:80" x14ac:dyDescent="0.25">
      <c r="AZ86" s="24">
        <v>83</v>
      </c>
      <c r="BA86" s="24">
        <v>0.20631438947420566</v>
      </c>
      <c r="BB86" s="24">
        <v>1</v>
      </c>
      <c r="BC86" s="24">
        <v>20</v>
      </c>
      <c r="BD86" s="24">
        <v>16.185000000000002</v>
      </c>
      <c r="BZ86">
        <v>0.70807453416149069</v>
      </c>
      <c r="CA86">
        <v>0.92307692307692313</v>
      </c>
      <c r="CB86">
        <v>0.70807453416149069</v>
      </c>
    </row>
    <row r="87" spans="52:80" x14ac:dyDescent="0.25">
      <c r="AZ87" s="24">
        <v>84</v>
      </c>
      <c r="BA87" s="24">
        <v>0.20631438947420566</v>
      </c>
      <c r="BB87" s="24">
        <v>0</v>
      </c>
      <c r="BC87" s="24">
        <v>20</v>
      </c>
      <c r="BD87" s="24">
        <v>16.38</v>
      </c>
      <c r="BZ87">
        <v>0.72670807453416153</v>
      </c>
      <c r="CA87">
        <v>0.92307692307692313</v>
      </c>
      <c r="CB87">
        <v>0.72670807453416153</v>
      </c>
    </row>
    <row r="88" spans="52:80" x14ac:dyDescent="0.25">
      <c r="AZ88" s="24">
        <v>85</v>
      </c>
      <c r="BA88" s="24">
        <v>0.20631438947420566</v>
      </c>
      <c r="BB88" s="24">
        <v>0</v>
      </c>
      <c r="BC88" s="24">
        <v>20</v>
      </c>
      <c r="BD88" s="24">
        <v>16.574999999999999</v>
      </c>
      <c r="BZ88">
        <v>0.74534161490683226</v>
      </c>
      <c r="CA88">
        <v>0.92307692307692313</v>
      </c>
      <c r="CB88">
        <v>0.74534161490683226</v>
      </c>
    </row>
    <row r="89" spans="52:80" x14ac:dyDescent="0.25">
      <c r="AZ89" s="24">
        <v>86</v>
      </c>
      <c r="BA89" s="24">
        <v>0.20424828760241162</v>
      </c>
      <c r="BB89" s="24">
        <v>1</v>
      </c>
      <c r="BC89" s="24">
        <v>21</v>
      </c>
      <c r="BD89" s="24">
        <v>16.77</v>
      </c>
      <c r="BZ89">
        <v>0.75155279503105588</v>
      </c>
      <c r="CA89">
        <v>0.92307692307692313</v>
      </c>
      <c r="CB89">
        <v>0.75155279503105588</v>
      </c>
    </row>
    <row r="90" spans="52:80" x14ac:dyDescent="0.25">
      <c r="AZ90" s="24">
        <v>87</v>
      </c>
      <c r="BA90" s="24">
        <v>0.20322101952373944</v>
      </c>
      <c r="BB90" s="24">
        <v>0</v>
      </c>
      <c r="BC90" s="24">
        <v>21</v>
      </c>
      <c r="BD90" s="24">
        <v>16.965</v>
      </c>
      <c r="BZ90">
        <v>0.7639751552795031</v>
      </c>
      <c r="CA90">
        <v>0.92307692307692313</v>
      </c>
      <c r="CB90">
        <v>0.7639751552795031</v>
      </c>
    </row>
    <row r="91" spans="52:80" x14ac:dyDescent="0.25">
      <c r="AZ91" s="24">
        <v>88</v>
      </c>
      <c r="BA91" s="24">
        <v>0.20322101952373944</v>
      </c>
      <c r="BB91" s="24">
        <v>0</v>
      </c>
      <c r="BC91" s="24">
        <v>21</v>
      </c>
      <c r="BD91" s="24">
        <v>17.16</v>
      </c>
      <c r="BZ91">
        <v>0.7639751552795031</v>
      </c>
      <c r="CA91">
        <v>0.94871794871794868</v>
      </c>
      <c r="CB91">
        <v>0.7639751552795031</v>
      </c>
    </row>
    <row r="92" spans="52:80" x14ac:dyDescent="0.25">
      <c r="AZ92" s="24">
        <v>89</v>
      </c>
      <c r="BA92" s="24">
        <v>0.20322101952373944</v>
      </c>
      <c r="BB92" s="24">
        <v>0</v>
      </c>
      <c r="BC92" s="24">
        <v>21</v>
      </c>
      <c r="BD92" s="24">
        <v>17.355</v>
      </c>
      <c r="BZ92">
        <v>0.77639751552795033</v>
      </c>
      <c r="CA92">
        <v>0.97435897435897434</v>
      </c>
      <c r="CB92">
        <v>0.77639751552795033</v>
      </c>
    </row>
    <row r="93" spans="52:80" x14ac:dyDescent="0.25">
      <c r="AZ93" s="24">
        <v>90</v>
      </c>
      <c r="BA93" s="24">
        <v>0.20322101952373944</v>
      </c>
      <c r="BB93" s="24">
        <v>0</v>
      </c>
      <c r="BC93" s="24">
        <v>21</v>
      </c>
      <c r="BD93" s="24">
        <v>17.55</v>
      </c>
      <c r="BZ93">
        <v>0.78881987577639756</v>
      </c>
      <c r="CA93">
        <v>0.97435897435897434</v>
      </c>
      <c r="CB93">
        <v>0.78881987577639756</v>
      </c>
    </row>
    <row r="94" spans="52:80" x14ac:dyDescent="0.25">
      <c r="AZ94" s="24">
        <v>91</v>
      </c>
      <c r="BA94" s="24">
        <v>0.20117804359590838</v>
      </c>
      <c r="BB94" s="24">
        <v>1</v>
      </c>
      <c r="BC94" s="24">
        <v>22</v>
      </c>
      <c r="BD94" s="24">
        <v>17.745000000000001</v>
      </c>
      <c r="BZ94">
        <v>0.79503105590062106</v>
      </c>
      <c r="CA94">
        <v>0.97435897435897434</v>
      </c>
      <c r="CB94">
        <v>0.79503105590062106</v>
      </c>
    </row>
    <row r="95" spans="52:80" x14ac:dyDescent="0.25">
      <c r="AZ95" s="24">
        <v>92</v>
      </c>
      <c r="BA95" s="24">
        <v>0.20117804359590838</v>
      </c>
      <c r="BB95" s="24">
        <v>1</v>
      </c>
      <c r="BC95" s="24">
        <v>23</v>
      </c>
      <c r="BD95" s="24">
        <v>17.940000000000001</v>
      </c>
      <c r="BZ95">
        <v>0.80124223602484468</v>
      </c>
      <c r="CA95">
        <v>0.97435897435897434</v>
      </c>
      <c r="CB95">
        <v>0.80124223602484468</v>
      </c>
    </row>
    <row r="96" spans="52:80" x14ac:dyDescent="0.25">
      <c r="AZ96" s="24">
        <v>93</v>
      </c>
      <c r="BA96" s="24">
        <v>0.20117804359590838</v>
      </c>
      <c r="BB96" s="24">
        <v>0</v>
      </c>
      <c r="BC96" s="24">
        <v>23</v>
      </c>
      <c r="BD96" s="24">
        <v>18.135000000000002</v>
      </c>
      <c r="BZ96">
        <v>0.80745341614906829</v>
      </c>
      <c r="CA96">
        <v>0.97435897435897434</v>
      </c>
      <c r="CB96">
        <v>0.80745341614906829</v>
      </c>
    </row>
    <row r="97" spans="52:80" x14ac:dyDescent="0.25">
      <c r="AZ97" s="24">
        <v>94</v>
      </c>
      <c r="BA97" s="24">
        <v>0.1991504722994584</v>
      </c>
      <c r="BB97" s="24">
        <v>0</v>
      </c>
      <c r="BC97" s="24">
        <v>23</v>
      </c>
      <c r="BD97" s="24">
        <v>18.330000000000002</v>
      </c>
      <c r="BZ97">
        <v>0.81366459627329191</v>
      </c>
      <c r="CA97">
        <v>0.97435897435897434</v>
      </c>
      <c r="CB97">
        <v>0.81366459627329191</v>
      </c>
    </row>
    <row r="98" spans="52:80" x14ac:dyDescent="0.25">
      <c r="AZ98" s="24">
        <v>95</v>
      </c>
      <c r="BA98" s="24">
        <v>0.1991504722994584</v>
      </c>
      <c r="BB98" s="24">
        <v>0</v>
      </c>
      <c r="BC98" s="24">
        <v>23</v>
      </c>
      <c r="BD98" s="24">
        <v>18.525000000000002</v>
      </c>
      <c r="BZ98">
        <v>0.81987577639751552</v>
      </c>
      <c r="CA98">
        <v>0.97435897435897434</v>
      </c>
      <c r="CB98">
        <v>0.81987577639751552</v>
      </c>
    </row>
    <row r="99" spans="52:80" x14ac:dyDescent="0.25">
      <c r="AZ99" s="24">
        <v>96</v>
      </c>
      <c r="BA99" s="24">
        <v>0.19814245947234735</v>
      </c>
      <c r="BB99" s="24">
        <v>0</v>
      </c>
      <c r="BC99" s="24">
        <v>23</v>
      </c>
      <c r="BD99" s="24">
        <v>18.72</v>
      </c>
      <c r="BZ99">
        <v>0.82608695652173914</v>
      </c>
      <c r="CA99">
        <v>0.97435897435897434</v>
      </c>
      <c r="CB99">
        <v>0.82608695652173914</v>
      </c>
    </row>
    <row r="100" spans="52:80" x14ac:dyDescent="0.25">
      <c r="AZ100" s="24">
        <v>97</v>
      </c>
      <c r="BA100" s="24">
        <v>0.19814245947234735</v>
      </c>
      <c r="BB100" s="24">
        <v>1</v>
      </c>
      <c r="BC100" s="24">
        <v>24</v>
      </c>
      <c r="BD100" s="24">
        <v>18.914999999999999</v>
      </c>
      <c r="BZ100">
        <v>0.83229813664596275</v>
      </c>
      <c r="CA100">
        <v>0.97435897435897434</v>
      </c>
      <c r="CB100">
        <v>0.83229813664596275</v>
      </c>
    </row>
    <row r="101" spans="52:80" x14ac:dyDescent="0.25">
      <c r="AZ101" s="24">
        <v>98</v>
      </c>
      <c r="BA101" s="24">
        <v>0.19814245947234735</v>
      </c>
      <c r="BB101" s="24">
        <v>1</v>
      </c>
      <c r="BC101" s="24">
        <v>25</v>
      </c>
      <c r="BD101" s="24">
        <v>19.11</v>
      </c>
      <c r="BZ101">
        <v>0.83850931677018636</v>
      </c>
      <c r="CA101">
        <v>0.97435897435897434</v>
      </c>
      <c r="CB101">
        <v>0.83850931677018636</v>
      </c>
    </row>
    <row r="102" spans="52:80" x14ac:dyDescent="0.25">
      <c r="AZ102" s="24">
        <v>99</v>
      </c>
      <c r="BA102" s="24">
        <v>0.19713829282085699</v>
      </c>
      <c r="BB102" s="24">
        <v>1</v>
      </c>
      <c r="BC102" s="24">
        <v>26</v>
      </c>
      <c r="BD102" s="24">
        <v>19.305</v>
      </c>
      <c r="BZ102">
        <v>0.8571428571428571</v>
      </c>
      <c r="CA102">
        <v>1</v>
      </c>
      <c r="CB102">
        <v>0.8571428571428571</v>
      </c>
    </row>
    <row r="103" spans="52:80" x14ac:dyDescent="0.25">
      <c r="AZ103" s="24">
        <v>100</v>
      </c>
      <c r="BA103" s="24">
        <v>0.19713829282085699</v>
      </c>
      <c r="BB103" s="24">
        <v>0</v>
      </c>
      <c r="BC103" s="24">
        <v>26</v>
      </c>
      <c r="BD103" s="24">
        <v>19.5</v>
      </c>
      <c r="BZ103">
        <v>0.86956521739130432</v>
      </c>
      <c r="CA103">
        <v>1</v>
      </c>
      <c r="CB103">
        <v>0.86956521739130432</v>
      </c>
    </row>
    <row r="104" spans="52:80" x14ac:dyDescent="0.25">
      <c r="AZ104" s="25">
        <v>101</v>
      </c>
      <c r="BA104" s="25">
        <v>0.19613797039107678</v>
      </c>
      <c r="BB104" s="25">
        <v>0</v>
      </c>
      <c r="BC104" s="25">
        <v>26</v>
      </c>
      <c r="BD104" s="25">
        <v>19.695</v>
      </c>
      <c r="BZ104">
        <v>0.87577639751552794</v>
      </c>
      <c r="CA104">
        <v>1</v>
      </c>
      <c r="CB104">
        <v>0.87577639751552794</v>
      </c>
    </row>
    <row r="105" spans="52:80" x14ac:dyDescent="0.25">
      <c r="AZ105" s="25">
        <v>102</v>
      </c>
      <c r="BA105" s="25">
        <v>0.19613797039107672</v>
      </c>
      <c r="BB105" s="25">
        <v>1</v>
      </c>
      <c r="BC105" s="25">
        <v>27</v>
      </c>
      <c r="BD105" s="25">
        <v>19.89</v>
      </c>
      <c r="BZ105">
        <v>0.88819875776397517</v>
      </c>
      <c r="CA105">
        <v>1</v>
      </c>
      <c r="CB105">
        <v>0.88819875776397517</v>
      </c>
    </row>
    <row r="106" spans="52:80" x14ac:dyDescent="0.25">
      <c r="AZ106" s="25">
        <v>103</v>
      </c>
      <c r="BA106" s="25">
        <v>0.1951414900904731</v>
      </c>
      <c r="BB106" s="25">
        <v>0</v>
      </c>
      <c r="BC106" s="25">
        <v>27</v>
      </c>
      <c r="BD106" s="25">
        <v>20.085000000000001</v>
      </c>
      <c r="BZ106">
        <v>0.89440993788819878</v>
      </c>
      <c r="CA106">
        <v>1</v>
      </c>
      <c r="CB106">
        <v>0.89440993788819878</v>
      </c>
    </row>
    <row r="107" spans="52:80" x14ac:dyDescent="0.25">
      <c r="AZ107" s="25">
        <v>104</v>
      </c>
      <c r="BA107" s="25">
        <v>0.1951414900904731</v>
      </c>
      <c r="BB107" s="25">
        <v>1</v>
      </c>
      <c r="BC107" s="25">
        <v>28</v>
      </c>
      <c r="BD107" s="25">
        <v>20.28</v>
      </c>
      <c r="BZ107">
        <v>0.90683229813664601</v>
      </c>
      <c r="CA107">
        <v>1</v>
      </c>
      <c r="CB107">
        <v>0.90683229813664601</v>
      </c>
    </row>
    <row r="108" spans="52:80" x14ac:dyDescent="0.25">
      <c r="AZ108" s="25">
        <v>105</v>
      </c>
      <c r="BA108" s="25">
        <v>0.1951414900904731</v>
      </c>
      <c r="BB108" s="25">
        <v>0</v>
      </c>
      <c r="BC108" s="25">
        <v>28</v>
      </c>
      <c r="BD108" s="25">
        <v>20.475000000000001</v>
      </c>
      <c r="BZ108">
        <v>0.91304347826086951</v>
      </c>
      <c r="CA108">
        <v>1</v>
      </c>
      <c r="CB108">
        <v>0.91304347826086951</v>
      </c>
    </row>
    <row r="109" spans="52:80" x14ac:dyDescent="0.25">
      <c r="AZ109" s="25">
        <v>106</v>
      </c>
      <c r="BA109" s="25">
        <v>0.19414884968908719</v>
      </c>
      <c r="BB109" s="25">
        <v>1</v>
      </c>
      <c r="BC109" s="25">
        <v>29</v>
      </c>
      <c r="BD109" s="25">
        <v>20.67</v>
      </c>
      <c r="BZ109">
        <v>0.92546583850931674</v>
      </c>
      <c r="CA109">
        <v>1</v>
      </c>
      <c r="CB109">
        <v>0.92546583850931674</v>
      </c>
    </row>
    <row r="110" spans="52:80" x14ac:dyDescent="0.25">
      <c r="AZ110" s="25">
        <v>107</v>
      </c>
      <c r="BA110" s="25">
        <v>0.19316004682073504</v>
      </c>
      <c r="BB110" s="25">
        <v>0</v>
      </c>
      <c r="BC110" s="25">
        <v>29</v>
      </c>
      <c r="BD110" s="25">
        <v>20.865000000000002</v>
      </c>
      <c r="BZ110">
        <v>0.93167701863354035</v>
      </c>
      <c r="CA110">
        <v>1</v>
      </c>
      <c r="CB110">
        <v>0.93167701863354035</v>
      </c>
    </row>
    <row r="111" spans="52:80" x14ac:dyDescent="0.25">
      <c r="AZ111" s="25">
        <v>108</v>
      </c>
      <c r="BA111" s="25">
        <v>0.19316004682073495</v>
      </c>
      <c r="BB111" s="25">
        <v>0</v>
      </c>
      <c r="BC111" s="25">
        <v>29</v>
      </c>
      <c r="BD111" s="25">
        <v>21.060000000000002</v>
      </c>
      <c r="BZ111">
        <v>0.93788819875776397</v>
      </c>
      <c r="CA111">
        <v>1</v>
      </c>
      <c r="CB111">
        <v>0.93788819875776397</v>
      </c>
    </row>
    <row r="112" spans="52:80" x14ac:dyDescent="0.25">
      <c r="AZ112" s="25">
        <v>109</v>
      </c>
      <c r="BA112" s="25">
        <v>0.19316004682073495</v>
      </c>
      <c r="BB112" s="25">
        <v>0</v>
      </c>
      <c r="BC112" s="25">
        <v>29</v>
      </c>
      <c r="BD112" s="25">
        <v>21.254999999999999</v>
      </c>
      <c r="BZ112">
        <v>0.94409937888198758</v>
      </c>
      <c r="CA112">
        <v>1</v>
      </c>
      <c r="CB112">
        <v>0.94409937888198758</v>
      </c>
    </row>
    <row r="113" spans="52:80" x14ac:dyDescent="0.25">
      <c r="AZ113" s="25">
        <v>110</v>
      </c>
      <c r="BA113" s="25">
        <v>0.19316004682073495</v>
      </c>
      <c r="BB113" s="25">
        <v>0</v>
      </c>
      <c r="BC113" s="25">
        <v>29</v>
      </c>
      <c r="BD113" s="25">
        <v>21.45</v>
      </c>
      <c r="BZ113">
        <v>0.9503105590062112</v>
      </c>
      <c r="CA113">
        <v>1</v>
      </c>
      <c r="CB113">
        <v>0.9503105590062112</v>
      </c>
    </row>
    <row r="114" spans="52:80" x14ac:dyDescent="0.25">
      <c r="AZ114" s="25">
        <v>111</v>
      </c>
      <c r="BA114" s="25">
        <v>0.19316004682073495</v>
      </c>
      <c r="BB114" s="25">
        <v>0</v>
      </c>
      <c r="BC114" s="25">
        <v>29</v>
      </c>
      <c r="BD114" s="25">
        <v>21.645</v>
      </c>
      <c r="BZ114">
        <v>0.95652173913043481</v>
      </c>
      <c r="CA114">
        <v>1</v>
      </c>
      <c r="CB114">
        <v>0.95652173913043481</v>
      </c>
    </row>
    <row r="115" spans="52:80" x14ac:dyDescent="0.25">
      <c r="AZ115" s="25">
        <v>112</v>
      </c>
      <c r="BA115" s="25">
        <v>0.19217507898421096</v>
      </c>
      <c r="BB115" s="25">
        <v>0</v>
      </c>
      <c r="BC115" s="25">
        <v>29</v>
      </c>
      <c r="BD115" s="25">
        <v>21.84</v>
      </c>
      <c r="BZ115">
        <v>0.96273291925465843</v>
      </c>
      <c r="CA115">
        <v>1</v>
      </c>
      <c r="CB115">
        <v>0.96273291925465843</v>
      </c>
    </row>
    <row r="116" spans="52:80" x14ac:dyDescent="0.25">
      <c r="AZ116" s="25">
        <v>113</v>
      </c>
      <c r="BA116" s="25">
        <v>0.19217507898421096</v>
      </c>
      <c r="BB116" s="25">
        <v>1</v>
      </c>
      <c r="BC116" s="25">
        <v>30</v>
      </c>
      <c r="BD116" s="25">
        <v>22.035</v>
      </c>
      <c r="BZ116">
        <v>0.96894409937888204</v>
      </c>
      <c r="CA116">
        <v>1</v>
      </c>
      <c r="CB116">
        <v>0.96894409937888204</v>
      </c>
    </row>
    <row r="117" spans="52:80" x14ac:dyDescent="0.25">
      <c r="AZ117" s="25">
        <v>114</v>
      </c>
      <c r="BA117" s="25">
        <v>0.19217507898421096</v>
      </c>
      <c r="BB117" s="25">
        <v>0</v>
      </c>
      <c r="BC117" s="25">
        <v>30</v>
      </c>
      <c r="BD117" s="25">
        <v>22.23</v>
      </c>
      <c r="BZ117">
        <v>0.97515527950310554</v>
      </c>
      <c r="CA117">
        <v>1</v>
      </c>
      <c r="CB117">
        <v>0.97515527950310554</v>
      </c>
    </row>
    <row r="118" spans="52:80" x14ac:dyDescent="0.25">
      <c r="AZ118" s="25">
        <v>115</v>
      </c>
      <c r="BA118" s="25">
        <v>0.19119394354449384</v>
      </c>
      <c r="BB118" s="25">
        <v>0</v>
      </c>
      <c r="BC118" s="25">
        <v>30</v>
      </c>
      <c r="BD118" s="25">
        <v>22.425000000000001</v>
      </c>
      <c r="BZ118">
        <v>0.98136645962732916</v>
      </c>
      <c r="CA118">
        <v>1</v>
      </c>
      <c r="CB118">
        <v>0.98136645962732916</v>
      </c>
    </row>
    <row r="119" spans="52:80" x14ac:dyDescent="0.25">
      <c r="AZ119" s="25">
        <v>116</v>
      </c>
      <c r="BA119" s="25">
        <v>0.18924315865356914</v>
      </c>
      <c r="BB119" s="25">
        <v>1</v>
      </c>
      <c r="BC119" s="25">
        <v>31</v>
      </c>
      <c r="BD119" s="25">
        <v>22.62</v>
      </c>
      <c r="BZ119">
        <v>0.98757763975155277</v>
      </c>
      <c r="CA119">
        <v>1</v>
      </c>
      <c r="CB119">
        <v>0.98757763975155277</v>
      </c>
    </row>
    <row r="120" spans="52:80" x14ac:dyDescent="0.25">
      <c r="AZ120" s="25">
        <v>117</v>
      </c>
      <c r="BA120" s="25">
        <v>0.18827350327412662</v>
      </c>
      <c r="BB120" s="25">
        <v>0</v>
      </c>
      <c r="BC120" s="25">
        <v>31</v>
      </c>
      <c r="BD120" s="25">
        <v>22.815000000000001</v>
      </c>
      <c r="BZ120">
        <v>1</v>
      </c>
      <c r="CA120">
        <v>1</v>
      </c>
      <c r="CB120">
        <v>1</v>
      </c>
    </row>
    <row r="121" spans="52:80" x14ac:dyDescent="0.25">
      <c r="AZ121" s="25">
        <v>118</v>
      </c>
      <c r="BA121" s="25">
        <v>0.18730766843744823</v>
      </c>
      <c r="BB121" s="25">
        <v>1</v>
      </c>
      <c r="BC121" s="25">
        <v>32</v>
      </c>
      <c r="BD121" s="25">
        <v>23.01</v>
      </c>
    </row>
    <row r="122" spans="52:80" x14ac:dyDescent="0.25">
      <c r="AZ122" s="25">
        <v>119</v>
      </c>
      <c r="BA122" s="25">
        <v>0.18538744712211708</v>
      </c>
      <c r="BB122" s="25">
        <v>0</v>
      </c>
      <c r="BC122" s="25">
        <v>32</v>
      </c>
      <c r="BD122" s="25">
        <v>23.205000000000002</v>
      </c>
    </row>
    <row r="123" spans="52:80" x14ac:dyDescent="0.25">
      <c r="AZ123" s="25">
        <v>120</v>
      </c>
      <c r="BA123" s="25">
        <v>0.1844330536932097</v>
      </c>
      <c r="BB123" s="25">
        <v>1</v>
      </c>
      <c r="BC123" s="25">
        <v>33</v>
      </c>
      <c r="BD123" s="25">
        <v>23.400000000000002</v>
      </c>
    </row>
    <row r="124" spans="52:80" x14ac:dyDescent="0.25">
      <c r="AZ124" s="24">
        <v>121</v>
      </c>
      <c r="BA124" s="24">
        <v>0.1844330536932097</v>
      </c>
      <c r="BB124" s="24">
        <v>0</v>
      </c>
      <c r="BC124" s="24">
        <v>33</v>
      </c>
      <c r="BD124" s="24">
        <v>23.595000000000002</v>
      </c>
    </row>
    <row r="125" spans="52:80" x14ac:dyDescent="0.25">
      <c r="AZ125" s="24">
        <v>122</v>
      </c>
      <c r="BA125" s="24">
        <v>0.18348246690899619</v>
      </c>
      <c r="BB125" s="24">
        <v>0</v>
      </c>
      <c r="BC125" s="24">
        <v>33</v>
      </c>
      <c r="BD125" s="24">
        <v>23.79</v>
      </c>
    </row>
    <row r="126" spans="52:80" x14ac:dyDescent="0.25">
      <c r="AZ126" s="24">
        <v>123</v>
      </c>
      <c r="BA126" s="24">
        <v>0.18348246690899619</v>
      </c>
      <c r="BB126" s="24">
        <v>0</v>
      </c>
      <c r="BC126" s="24">
        <v>33</v>
      </c>
      <c r="BD126" s="24">
        <v>23.984999999999999</v>
      </c>
    </row>
    <row r="127" spans="52:80" x14ac:dyDescent="0.25">
      <c r="AZ127" s="24">
        <v>124</v>
      </c>
      <c r="BA127" s="24">
        <v>0.18348246690899619</v>
      </c>
      <c r="BB127" s="24">
        <v>0</v>
      </c>
      <c r="BC127" s="24">
        <v>33</v>
      </c>
      <c r="BD127" s="24">
        <v>24.18</v>
      </c>
    </row>
    <row r="128" spans="52:80" x14ac:dyDescent="0.25">
      <c r="AZ128" s="24">
        <v>125</v>
      </c>
      <c r="BA128" s="24">
        <v>0.18348246690899619</v>
      </c>
      <c r="BB128" s="24">
        <v>0</v>
      </c>
      <c r="BC128" s="24">
        <v>33</v>
      </c>
      <c r="BD128" s="24">
        <v>24.375</v>
      </c>
    </row>
    <row r="129" spans="52:56" x14ac:dyDescent="0.25">
      <c r="AZ129" s="24">
        <v>126</v>
      </c>
      <c r="BA129" s="24">
        <v>0.1797181087064097</v>
      </c>
      <c r="BB129" s="24">
        <v>0</v>
      </c>
      <c r="BC129" s="24">
        <v>33</v>
      </c>
      <c r="BD129" s="24">
        <v>24.57</v>
      </c>
    </row>
    <row r="130" spans="52:56" x14ac:dyDescent="0.25">
      <c r="AZ130" s="24">
        <v>127</v>
      </c>
      <c r="BA130" s="24">
        <v>0.1797181087064097</v>
      </c>
      <c r="BB130" s="24">
        <v>0</v>
      </c>
      <c r="BC130" s="24">
        <v>33</v>
      </c>
      <c r="BD130" s="24">
        <v>24.765000000000001</v>
      </c>
    </row>
    <row r="131" spans="52:56" x14ac:dyDescent="0.25">
      <c r="AZ131" s="24">
        <v>128</v>
      </c>
      <c r="BA131" s="24">
        <v>0.1797181087064097</v>
      </c>
      <c r="BB131" s="24">
        <v>1</v>
      </c>
      <c r="BC131" s="24">
        <v>34</v>
      </c>
      <c r="BD131" s="24">
        <v>24.96</v>
      </c>
    </row>
    <row r="132" spans="52:56" x14ac:dyDescent="0.25">
      <c r="AZ132" s="24">
        <v>129</v>
      </c>
      <c r="BA132" s="24">
        <v>0.17785866534839434</v>
      </c>
      <c r="BB132" s="24">
        <v>0</v>
      </c>
      <c r="BC132" s="24">
        <v>34</v>
      </c>
      <c r="BD132" s="24">
        <v>25.155000000000001</v>
      </c>
    </row>
    <row r="133" spans="52:56" x14ac:dyDescent="0.25">
      <c r="AZ133" s="24">
        <v>130</v>
      </c>
      <c r="BA133" s="24">
        <v>0.17785866534839434</v>
      </c>
      <c r="BB133" s="24">
        <v>0</v>
      </c>
      <c r="BC133" s="24">
        <v>34</v>
      </c>
      <c r="BD133" s="24">
        <v>25.35</v>
      </c>
    </row>
    <row r="134" spans="52:56" x14ac:dyDescent="0.25">
      <c r="AZ134" s="24">
        <v>131</v>
      </c>
      <c r="BA134" s="24">
        <v>0.17785866534839434</v>
      </c>
      <c r="BB134" s="24">
        <v>0</v>
      </c>
      <c r="BC134" s="24">
        <v>34</v>
      </c>
      <c r="BD134" s="24">
        <v>25.545000000000002</v>
      </c>
    </row>
    <row r="135" spans="52:56" x14ac:dyDescent="0.25">
      <c r="AZ135" s="24">
        <v>132</v>
      </c>
      <c r="BA135" s="24">
        <v>0.17601433243372858</v>
      </c>
      <c r="BB135" s="24">
        <v>0</v>
      </c>
      <c r="BC135" s="24">
        <v>34</v>
      </c>
      <c r="BD135" s="24">
        <v>25.740000000000002</v>
      </c>
    </row>
    <row r="136" spans="52:56" x14ac:dyDescent="0.25">
      <c r="AZ136" s="24">
        <v>133</v>
      </c>
      <c r="BA136" s="24">
        <v>0.17601433243372858</v>
      </c>
      <c r="BB136" s="24">
        <v>0</v>
      </c>
      <c r="BC136" s="24">
        <v>34</v>
      </c>
      <c r="BD136" s="24">
        <v>25.935000000000002</v>
      </c>
    </row>
    <row r="137" spans="52:56" x14ac:dyDescent="0.25">
      <c r="AZ137" s="24">
        <v>134</v>
      </c>
      <c r="BA137" s="24">
        <v>0.17509782079575215</v>
      </c>
      <c r="BB137" s="24">
        <v>0</v>
      </c>
      <c r="BC137" s="24">
        <v>34</v>
      </c>
      <c r="BD137" s="24">
        <v>26.130000000000003</v>
      </c>
    </row>
    <row r="138" spans="52:56" x14ac:dyDescent="0.25">
      <c r="AZ138" s="24">
        <v>135</v>
      </c>
      <c r="BA138" s="24">
        <v>0.17509782079575215</v>
      </c>
      <c r="BB138" s="24">
        <v>0</v>
      </c>
      <c r="BC138" s="24">
        <v>34</v>
      </c>
      <c r="BD138" s="24">
        <v>26.324999999999999</v>
      </c>
    </row>
    <row r="139" spans="52:56" x14ac:dyDescent="0.25">
      <c r="AZ139" s="24">
        <v>136</v>
      </c>
      <c r="BA139" s="24">
        <v>0.17418507262711561</v>
      </c>
      <c r="BB139" s="24">
        <v>0</v>
      </c>
      <c r="BC139" s="24">
        <v>34</v>
      </c>
      <c r="BD139" s="24">
        <v>26.52</v>
      </c>
    </row>
    <row r="140" spans="52:56" x14ac:dyDescent="0.25">
      <c r="AZ140" s="24">
        <v>137</v>
      </c>
      <c r="BA140" s="24">
        <v>0.17418507262711561</v>
      </c>
      <c r="BB140" s="24">
        <v>0</v>
      </c>
      <c r="BC140" s="24">
        <v>34</v>
      </c>
      <c r="BD140" s="24">
        <v>26.715</v>
      </c>
    </row>
    <row r="141" spans="52:56" x14ac:dyDescent="0.25">
      <c r="AZ141" s="24">
        <v>138</v>
      </c>
      <c r="BA141" s="24">
        <v>0.17418507262711561</v>
      </c>
      <c r="BB141" s="24">
        <v>1</v>
      </c>
      <c r="BC141" s="24">
        <v>35</v>
      </c>
      <c r="BD141" s="24">
        <v>26.91</v>
      </c>
    </row>
    <row r="142" spans="52:56" x14ac:dyDescent="0.25">
      <c r="AZ142" s="24">
        <v>139</v>
      </c>
      <c r="BA142" s="24">
        <v>0.17327608298152103</v>
      </c>
      <c r="BB142" s="24">
        <v>0</v>
      </c>
      <c r="BC142" s="24">
        <v>35</v>
      </c>
      <c r="BD142" s="24">
        <v>27.105</v>
      </c>
    </row>
    <row r="143" spans="52:56" x14ac:dyDescent="0.25">
      <c r="AZ143" s="24">
        <v>140</v>
      </c>
      <c r="BA143" s="24">
        <v>0.17327608298152103</v>
      </c>
      <c r="BB143" s="24">
        <v>0</v>
      </c>
      <c r="BC143" s="24">
        <v>35</v>
      </c>
      <c r="BD143" s="24">
        <v>27.3</v>
      </c>
    </row>
    <row r="144" spans="52:56" x14ac:dyDescent="0.25">
      <c r="AZ144" s="25">
        <v>141</v>
      </c>
      <c r="BA144" s="25">
        <v>0.17146935892830426</v>
      </c>
      <c r="BB144" s="25">
        <v>0</v>
      </c>
      <c r="BC144" s="25">
        <v>35</v>
      </c>
      <c r="BD144" s="25">
        <v>27.495000000000001</v>
      </c>
    </row>
    <row r="145" spans="52:56" x14ac:dyDescent="0.25">
      <c r="AZ145" s="25">
        <v>142</v>
      </c>
      <c r="BA145" s="25">
        <v>0.17057161408577867</v>
      </c>
      <c r="BB145" s="25">
        <v>0</v>
      </c>
      <c r="BC145" s="25">
        <v>35</v>
      </c>
      <c r="BD145" s="25">
        <v>27.69</v>
      </c>
    </row>
    <row r="146" spans="52:56" x14ac:dyDescent="0.25">
      <c r="AZ146" s="25">
        <v>143</v>
      </c>
      <c r="BA146" s="25">
        <v>0.16967760689892111</v>
      </c>
      <c r="BB146" s="25">
        <v>0</v>
      </c>
      <c r="BC146" s="25">
        <v>35</v>
      </c>
      <c r="BD146" s="25">
        <v>27.885000000000002</v>
      </c>
    </row>
    <row r="147" spans="52:56" x14ac:dyDescent="0.25">
      <c r="AZ147" s="25">
        <v>144</v>
      </c>
      <c r="BA147" s="25">
        <v>0.16967760689892111</v>
      </c>
      <c r="BB147" s="25">
        <v>0</v>
      </c>
      <c r="BC147" s="25">
        <v>35</v>
      </c>
      <c r="BD147" s="25">
        <v>28.080000000000002</v>
      </c>
    </row>
    <row r="148" spans="52:56" x14ac:dyDescent="0.25">
      <c r="AZ148" s="25">
        <v>145</v>
      </c>
      <c r="BA148" s="25">
        <v>0.168787331886425</v>
      </c>
      <c r="BB148" s="25">
        <v>0</v>
      </c>
      <c r="BC148" s="25">
        <v>35</v>
      </c>
      <c r="BD148" s="25">
        <v>28.275000000000002</v>
      </c>
    </row>
    <row r="149" spans="52:56" x14ac:dyDescent="0.25">
      <c r="AZ149" s="25">
        <v>146</v>
      </c>
      <c r="BA149" s="25">
        <v>0.168787331886425</v>
      </c>
      <c r="BB149" s="25">
        <v>0</v>
      </c>
      <c r="BC149" s="25">
        <v>35</v>
      </c>
      <c r="BD149" s="25">
        <v>28.470000000000002</v>
      </c>
    </row>
    <row r="150" spans="52:56" x14ac:dyDescent="0.25">
      <c r="AZ150" s="25">
        <v>147</v>
      </c>
      <c r="BA150" s="25">
        <v>0.16701795594371194</v>
      </c>
      <c r="BB150" s="25">
        <v>0</v>
      </c>
      <c r="BC150" s="25">
        <v>35</v>
      </c>
      <c r="BD150" s="25">
        <v>28.665000000000003</v>
      </c>
    </row>
    <row r="151" spans="52:56" x14ac:dyDescent="0.25">
      <c r="AZ151" s="25">
        <v>148</v>
      </c>
      <c r="BA151" s="25">
        <v>0.16613884353893371</v>
      </c>
      <c r="BB151" s="25">
        <v>1</v>
      </c>
      <c r="BC151" s="25">
        <v>36</v>
      </c>
      <c r="BD151" s="25">
        <v>28.86</v>
      </c>
    </row>
    <row r="152" spans="52:56" x14ac:dyDescent="0.25">
      <c r="AZ152" s="25">
        <v>149</v>
      </c>
      <c r="BA152" s="25">
        <v>0.16613884353893368</v>
      </c>
      <c r="BB152" s="25">
        <v>0</v>
      </c>
      <c r="BC152" s="25">
        <v>36</v>
      </c>
      <c r="BD152" s="25">
        <v>29.055</v>
      </c>
    </row>
    <row r="153" spans="52:56" x14ac:dyDescent="0.25">
      <c r="AZ153" s="25">
        <v>150</v>
      </c>
      <c r="BA153" s="25">
        <v>0.16526344036180959</v>
      </c>
      <c r="BB153" s="25">
        <v>0</v>
      </c>
      <c r="BC153" s="25">
        <v>36</v>
      </c>
      <c r="BD153" s="25">
        <v>29.25</v>
      </c>
    </row>
    <row r="154" spans="52:56" x14ac:dyDescent="0.25">
      <c r="AZ154" s="25">
        <v>151</v>
      </c>
      <c r="BA154" s="25">
        <v>0.16439174042633076</v>
      </c>
      <c r="BB154" s="25">
        <v>0</v>
      </c>
      <c r="BC154" s="25">
        <v>36</v>
      </c>
      <c r="BD154" s="25">
        <v>29.445</v>
      </c>
    </row>
    <row r="155" spans="52:56" x14ac:dyDescent="0.25">
      <c r="AZ155" s="25">
        <v>152</v>
      </c>
      <c r="BA155" s="25">
        <v>0.16439174042633076</v>
      </c>
      <c r="BB155" s="25">
        <v>0</v>
      </c>
      <c r="BC155" s="25">
        <v>36</v>
      </c>
      <c r="BD155" s="25">
        <v>29.64</v>
      </c>
    </row>
    <row r="156" spans="52:56" x14ac:dyDescent="0.25">
      <c r="AZ156" s="25">
        <v>153</v>
      </c>
      <c r="BA156" s="25">
        <v>0.16439174042633076</v>
      </c>
      <c r="BB156" s="25">
        <v>0</v>
      </c>
      <c r="BC156" s="25">
        <v>36</v>
      </c>
      <c r="BD156" s="25">
        <v>29.835000000000001</v>
      </c>
    </row>
    <row r="157" spans="52:56" x14ac:dyDescent="0.25">
      <c r="AZ157" s="25">
        <v>154</v>
      </c>
      <c r="BA157" s="25">
        <v>0.16352373764916295</v>
      </c>
      <c r="BB157" s="25">
        <v>0</v>
      </c>
      <c r="BC157" s="25">
        <v>36</v>
      </c>
      <c r="BD157" s="25">
        <v>30.03</v>
      </c>
    </row>
    <row r="158" spans="52:56" x14ac:dyDescent="0.25">
      <c r="AZ158" s="25">
        <v>155</v>
      </c>
      <c r="BA158" s="25">
        <v>0.16352373764916295</v>
      </c>
      <c r="BB158" s="25">
        <v>0</v>
      </c>
      <c r="BC158" s="25">
        <v>36</v>
      </c>
      <c r="BD158" s="25">
        <v>30.225000000000001</v>
      </c>
    </row>
    <row r="159" spans="52:56" x14ac:dyDescent="0.25">
      <c r="AZ159" s="25">
        <v>156</v>
      </c>
      <c r="BA159" s="25">
        <v>0.16352373764916295</v>
      </c>
      <c r="BB159" s="25">
        <v>0</v>
      </c>
      <c r="BC159" s="25">
        <v>36</v>
      </c>
      <c r="BD159" s="25">
        <v>30.42</v>
      </c>
    </row>
    <row r="160" spans="52:56" x14ac:dyDescent="0.25">
      <c r="AZ160" s="25">
        <v>157</v>
      </c>
      <c r="BA160" s="25">
        <v>0.16179879875698946</v>
      </c>
      <c r="BB160" s="25">
        <v>0</v>
      </c>
      <c r="BC160" s="25">
        <v>36</v>
      </c>
      <c r="BD160" s="25">
        <v>30.615000000000002</v>
      </c>
    </row>
    <row r="161" spans="52:56" x14ac:dyDescent="0.25">
      <c r="AZ161" s="25">
        <v>158</v>
      </c>
      <c r="BA161" s="25">
        <v>0.16094184999946912</v>
      </c>
      <c r="BB161" s="25">
        <v>0</v>
      </c>
      <c r="BC161" s="25">
        <v>36</v>
      </c>
      <c r="BD161" s="25">
        <v>30.810000000000002</v>
      </c>
    </row>
    <row r="162" spans="52:56" x14ac:dyDescent="0.25">
      <c r="AZ162" s="25">
        <v>159</v>
      </c>
      <c r="BA162" s="25">
        <v>0.16094184999946912</v>
      </c>
      <c r="BB162" s="25">
        <v>0</v>
      </c>
      <c r="BC162" s="25">
        <v>36</v>
      </c>
      <c r="BD162" s="25">
        <v>31.005000000000003</v>
      </c>
    </row>
    <row r="163" spans="52:56" x14ac:dyDescent="0.25">
      <c r="AZ163" s="25">
        <v>160</v>
      </c>
      <c r="BA163" s="25">
        <v>0.15923896155940181</v>
      </c>
      <c r="BB163" s="25">
        <v>1</v>
      </c>
      <c r="BC163" s="25">
        <v>37</v>
      </c>
      <c r="BD163" s="25">
        <v>31.200000000000003</v>
      </c>
    </row>
    <row r="164" spans="52:56" x14ac:dyDescent="0.25">
      <c r="AZ164" s="24">
        <v>161</v>
      </c>
      <c r="BA164" s="24">
        <v>0.15671205196085616</v>
      </c>
      <c r="BB164" s="24">
        <v>1</v>
      </c>
      <c r="BC164" s="24">
        <v>38</v>
      </c>
      <c r="BD164" s="24">
        <v>31.395</v>
      </c>
    </row>
    <row r="165" spans="52:56" x14ac:dyDescent="0.25">
      <c r="AZ165" s="24">
        <v>162</v>
      </c>
      <c r="BA165" s="24">
        <v>0.15671205196085616</v>
      </c>
      <c r="BB165" s="24">
        <v>0</v>
      </c>
      <c r="BC165" s="24">
        <v>38</v>
      </c>
      <c r="BD165" s="24">
        <v>31.59</v>
      </c>
    </row>
    <row r="166" spans="52:56" x14ac:dyDescent="0.25">
      <c r="AZ166" s="24">
        <v>163</v>
      </c>
      <c r="BA166" s="24">
        <v>0.15671205196085616</v>
      </c>
      <c r="BB166" s="24">
        <v>0</v>
      </c>
      <c r="BC166" s="24">
        <v>38</v>
      </c>
      <c r="BD166" s="24">
        <v>31.785</v>
      </c>
    </row>
    <row r="167" spans="52:56" x14ac:dyDescent="0.25">
      <c r="AZ167" s="24">
        <v>164</v>
      </c>
      <c r="BA167" s="24">
        <v>0.15587703439121409</v>
      </c>
      <c r="BB167" s="24">
        <v>0</v>
      </c>
      <c r="BC167" s="24">
        <v>38</v>
      </c>
      <c r="BD167" s="24">
        <v>31.98</v>
      </c>
    </row>
    <row r="168" spans="52:56" x14ac:dyDescent="0.25">
      <c r="AZ168" s="24">
        <v>165</v>
      </c>
      <c r="BA168" s="24">
        <v>0.15587703439121409</v>
      </c>
      <c r="BB168" s="24">
        <v>0</v>
      </c>
      <c r="BC168" s="24">
        <v>38</v>
      </c>
      <c r="BD168" s="24">
        <v>32.175000000000004</v>
      </c>
    </row>
    <row r="169" spans="52:56" x14ac:dyDescent="0.25">
      <c r="AZ169" s="24">
        <v>166</v>
      </c>
      <c r="BA169" s="24">
        <v>0.15339374070461942</v>
      </c>
      <c r="BB169" s="24">
        <v>0</v>
      </c>
      <c r="BC169" s="24">
        <v>38</v>
      </c>
      <c r="BD169" s="24">
        <v>32.370000000000005</v>
      </c>
    </row>
    <row r="170" spans="52:56" x14ac:dyDescent="0.25">
      <c r="AZ170" s="24">
        <v>167</v>
      </c>
      <c r="BA170" s="24">
        <v>0.15257320528922483</v>
      </c>
      <c r="BB170" s="24">
        <v>0</v>
      </c>
      <c r="BC170" s="24">
        <v>38</v>
      </c>
      <c r="BD170" s="24">
        <v>32.564999999999998</v>
      </c>
    </row>
    <row r="171" spans="52:56" x14ac:dyDescent="0.25">
      <c r="AZ171" s="24">
        <v>168</v>
      </c>
      <c r="BA171" s="24">
        <v>0.15175627231254518</v>
      </c>
      <c r="BB171" s="24">
        <v>0</v>
      </c>
      <c r="BC171" s="24">
        <v>38</v>
      </c>
      <c r="BD171" s="24">
        <v>32.76</v>
      </c>
    </row>
    <row r="172" spans="52:56" x14ac:dyDescent="0.25">
      <c r="AZ172" s="24">
        <v>169</v>
      </c>
      <c r="BA172" s="24">
        <v>0.15094293437357126</v>
      </c>
      <c r="BB172" s="24">
        <v>0</v>
      </c>
      <c r="BC172" s="24">
        <v>38</v>
      </c>
      <c r="BD172" s="24">
        <v>32.954999999999998</v>
      </c>
    </row>
    <row r="173" spans="52:56" x14ac:dyDescent="0.25">
      <c r="AZ173" s="24">
        <v>170</v>
      </c>
      <c r="BA173" s="24">
        <v>0.15013318399277006</v>
      </c>
      <c r="BB173" s="24">
        <v>0</v>
      </c>
      <c r="BC173" s="24">
        <v>38</v>
      </c>
      <c r="BD173" s="24">
        <v>33.15</v>
      </c>
    </row>
    <row r="174" spans="52:56" x14ac:dyDescent="0.25">
      <c r="AZ174" s="24">
        <v>171</v>
      </c>
      <c r="BA174" s="24">
        <v>0.14932701361322703</v>
      </c>
      <c r="BB174" s="24">
        <v>0</v>
      </c>
      <c r="BC174" s="24">
        <v>38</v>
      </c>
      <c r="BD174" s="24">
        <v>33.344999999999999</v>
      </c>
    </row>
    <row r="175" spans="52:56" x14ac:dyDescent="0.25">
      <c r="AZ175" s="24">
        <v>172</v>
      </c>
      <c r="BA175" s="24">
        <v>0.148524415601784</v>
      </c>
      <c r="BB175" s="24">
        <v>0</v>
      </c>
      <c r="BC175" s="24">
        <v>38</v>
      </c>
      <c r="BD175" s="24">
        <v>33.54</v>
      </c>
    </row>
    <row r="176" spans="52:56" x14ac:dyDescent="0.25">
      <c r="AZ176" s="24">
        <v>173</v>
      </c>
      <c r="BA176" s="24">
        <v>0.14613797832458675</v>
      </c>
      <c r="BB176" s="24">
        <v>0</v>
      </c>
      <c r="BC176" s="24">
        <v>38</v>
      </c>
      <c r="BD176" s="24">
        <v>33.734999999999999</v>
      </c>
    </row>
    <row r="177" spans="52:56" x14ac:dyDescent="0.25">
      <c r="AZ177" s="24">
        <v>174</v>
      </c>
      <c r="BA177" s="24">
        <v>0.14378341048428475</v>
      </c>
      <c r="BB177" s="24">
        <v>0</v>
      </c>
      <c r="BC177" s="24">
        <v>38</v>
      </c>
      <c r="BD177" s="24">
        <v>33.93</v>
      </c>
    </row>
    <row r="178" spans="52:56" x14ac:dyDescent="0.25">
      <c r="AZ178" s="24">
        <v>175</v>
      </c>
      <c r="BA178" s="24">
        <v>0.14378341048428475</v>
      </c>
      <c r="BB178" s="24">
        <v>0</v>
      </c>
      <c r="BC178" s="24">
        <v>38</v>
      </c>
      <c r="BD178" s="24">
        <v>34.125</v>
      </c>
    </row>
    <row r="179" spans="52:56" x14ac:dyDescent="0.25">
      <c r="AZ179" s="24">
        <v>176</v>
      </c>
      <c r="BA179" s="24">
        <v>0.14378341048428475</v>
      </c>
      <c r="BB179" s="24">
        <v>1</v>
      </c>
      <c r="BC179" s="24">
        <v>39</v>
      </c>
      <c r="BD179" s="24">
        <v>34.32</v>
      </c>
    </row>
    <row r="180" spans="52:56" x14ac:dyDescent="0.25">
      <c r="AZ180" s="24">
        <v>177</v>
      </c>
      <c r="BA180" s="24">
        <v>0.14378341048428475</v>
      </c>
      <c r="BB180" s="24">
        <v>0</v>
      </c>
      <c r="BC180" s="24">
        <v>39</v>
      </c>
      <c r="BD180" s="24">
        <v>34.515000000000001</v>
      </c>
    </row>
    <row r="181" spans="52:56" x14ac:dyDescent="0.25">
      <c r="AZ181" s="24">
        <v>178</v>
      </c>
      <c r="BA181" s="24">
        <v>0.13841212205338652</v>
      </c>
      <c r="BB181" s="24">
        <v>0</v>
      </c>
      <c r="BC181" s="24">
        <v>39</v>
      </c>
      <c r="BD181" s="24">
        <v>34.71</v>
      </c>
    </row>
    <row r="182" spans="52:56" x14ac:dyDescent="0.25">
      <c r="AZ182" s="24">
        <v>179</v>
      </c>
      <c r="BA182" s="24">
        <v>0.13841212205338652</v>
      </c>
      <c r="BB182" s="24">
        <v>0</v>
      </c>
      <c r="BC182" s="24">
        <v>39</v>
      </c>
      <c r="BD182" s="24">
        <v>34.905000000000001</v>
      </c>
    </row>
    <row r="183" spans="52:56" x14ac:dyDescent="0.25">
      <c r="AZ183" s="24">
        <v>180</v>
      </c>
      <c r="BA183" s="24">
        <v>0.13690871879649361</v>
      </c>
      <c r="BB183" s="24">
        <v>0</v>
      </c>
      <c r="BC183" s="24">
        <v>39</v>
      </c>
      <c r="BD183" s="24">
        <v>35.1</v>
      </c>
    </row>
    <row r="184" spans="52:56" x14ac:dyDescent="0.25">
      <c r="AZ184" s="25">
        <v>181</v>
      </c>
      <c r="BA184" s="25">
        <v>0.13467939770471385</v>
      </c>
      <c r="BB184" s="25">
        <v>0</v>
      </c>
      <c r="BC184" s="25">
        <v>39</v>
      </c>
      <c r="BD184" s="25">
        <v>35.295000000000002</v>
      </c>
    </row>
    <row r="185" spans="52:56" x14ac:dyDescent="0.25">
      <c r="AZ185" s="25">
        <v>182</v>
      </c>
      <c r="BA185" s="25">
        <v>0.13467939770471385</v>
      </c>
      <c r="BB185" s="25">
        <v>0</v>
      </c>
      <c r="BC185" s="25">
        <v>39</v>
      </c>
      <c r="BD185" s="25">
        <v>35.49</v>
      </c>
    </row>
    <row r="186" spans="52:56" x14ac:dyDescent="0.25">
      <c r="AZ186" s="25">
        <v>183</v>
      </c>
      <c r="BA186" s="25">
        <v>0.12888410998142671</v>
      </c>
      <c r="BB186" s="25">
        <v>0</v>
      </c>
      <c r="BC186" s="25">
        <v>39</v>
      </c>
      <c r="BD186" s="25">
        <v>35.685000000000002</v>
      </c>
    </row>
    <row r="187" spans="52:56" x14ac:dyDescent="0.25">
      <c r="AZ187" s="25">
        <v>184</v>
      </c>
      <c r="BA187" s="25">
        <v>0.12817483232473822</v>
      </c>
      <c r="BB187" s="25">
        <v>0</v>
      </c>
      <c r="BC187" s="25">
        <v>39</v>
      </c>
      <c r="BD187" s="25">
        <v>35.880000000000003</v>
      </c>
    </row>
    <row r="188" spans="52:56" x14ac:dyDescent="0.25">
      <c r="AZ188" s="25">
        <v>185</v>
      </c>
      <c r="BA188" s="25">
        <v>0.12817483232473822</v>
      </c>
      <c r="BB188" s="25">
        <v>0</v>
      </c>
      <c r="BC188" s="25">
        <v>39</v>
      </c>
      <c r="BD188" s="25">
        <v>36.075000000000003</v>
      </c>
    </row>
    <row r="189" spans="52:56" x14ac:dyDescent="0.25">
      <c r="AZ189" s="25">
        <v>186</v>
      </c>
      <c r="BA189" s="25">
        <v>0.12676626407826649</v>
      </c>
      <c r="BB189" s="25">
        <v>0</v>
      </c>
      <c r="BC189" s="25">
        <v>39</v>
      </c>
      <c r="BD189" s="25">
        <v>36.270000000000003</v>
      </c>
    </row>
    <row r="190" spans="52:56" x14ac:dyDescent="0.25">
      <c r="AZ190" s="25">
        <v>187</v>
      </c>
      <c r="BA190" s="25">
        <v>0.12606695469913834</v>
      </c>
      <c r="BB190" s="25">
        <v>0</v>
      </c>
      <c r="BC190" s="25">
        <v>39</v>
      </c>
      <c r="BD190" s="25">
        <v>36.465000000000003</v>
      </c>
    </row>
    <row r="191" spans="52:56" x14ac:dyDescent="0.25">
      <c r="AZ191" s="25">
        <v>188</v>
      </c>
      <c r="BA191" s="25">
        <v>0.12606695469913834</v>
      </c>
      <c r="BB191" s="25">
        <v>0</v>
      </c>
      <c r="BC191" s="25">
        <v>39</v>
      </c>
      <c r="BD191" s="25">
        <v>36.660000000000004</v>
      </c>
    </row>
    <row r="192" spans="52:56" x14ac:dyDescent="0.25">
      <c r="AZ192" s="25">
        <v>189</v>
      </c>
      <c r="BA192" s="25">
        <v>0.12467823812708556</v>
      </c>
      <c r="BB192" s="25">
        <v>0</v>
      </c>
      <c r="BC192" s="25">
        <v>39</v>
      </c>
      <c r="BD192" s="25">
        <v>36.855000000000004</v>
      </c>
    </row>
    <row r="193" spans="52:56" x14ac:dyDescent="0.25">
      <c r="AZ193" s="25">
        <v>190</v>
      </c>
      <c r="BA193" s="25">
        <v>0.12398881188590842</v>
      </c>
      <c r="BB193" s="25">
        <v>0</v>
      </c>
      <c r="BC193" s="25">
        <v>39</v>
      </c>
      <c r="BD193" s="25">
        <v>37.050000000000004</v>
      </c>
    </row>
    <row r="194" spans="52:56" x14ac:dyDescent="0.25">
      <c r="AZ194" s="25">
        <v>191</v>
      </c>
      <c r="BA194" s="25">
        <v>0.12194014619581467</v>
      </c>
      <c r="BB194" s="25">
        <v>0</v>
      </c>
      <c r="BC194" s="25">
        <v>39</v>
      </c>
      <c r="BD194" s="25">
        <v>37.245000000000005</v>
      </c>
    </row>
    <row r="195" spans="52:56" x14ac:dyDescent="0.25">
      <c r="AZ195" s="25">
        <v>192</v>
      </c>
      <c r="BA195" s="25">
        <v>0.11992069671141484</v>
      </c>
      <c r="BB195" s="25">
        <v>0</v>
      </c>
      <c r="BC195" s="25">
        <v>39</v>
      </c>
      <c r="BD195" s="25">
        <v>37.44</v>
      </c>
    </row>
    <row r="196" spans="52:56" x14ac:dyDescent="0.25">
      <c r="AZ196" s="25">
        <v>193</v>
      </c>
      <c r="BA196" s="25">
        <v>0.11793019951107805</v>
      </c>
      <c r="BB196" s="25">
        <v>0</v>
      </c>
      <c r="BC196" s="25">
        <v>39</v>
      </c>
      <c r="BD196" s="25">
        <v>37.634999999999998</v>
      </c>
    </row>
    <row r="197" spans="52:56" x14ac:dyDescent="0.25">
      <c r="AZ197" s="25">
        <v>194</v>
      </c>
      <c r="BA197" s="25">
        <v>0.11596838788807017</v>
      </c>
      <c r="BB197" s="25">
        <v>0</v>
      </c>
      <c r="BC197" s="25">
        <v>39</v>
      </c>
      <c r="BD197" s="25">
        <v>37.83</v>
      </c>
    </row>
    <row r="198" spans="52:56" x14ac:dyDescent="0.25">
      <c r="AZ198" s="25">
        <v>195</v>
      </c>
      <c r="BA198" s="25">
        <v>0.11339679530412318</v>
      </c>
      <c r="BB198" s="25">
        <v>0</v>
      </c>
      <c r="BC198" s="25">
        <v>39</v>
      </c>
      <c r="BD198" s="25">
        <v>38.024999999999999</v>
      </c>
    </row>
    <row r="199" spans="52:56" x14ac:dyDescent="0.25">
      <c r="AZ199" s="25">
        <v>196</v>
      </c>
      <c r="BA199" s="25">
        <v>0.11276171513011904</v>
      </c>
      <c r="BB199" s="25">
        <v>0</v>
      </c>
      <c r="BC199" s="25">
        <v>39</v>
      </c>
      <c r="BD199" s="25">
        <v>38.22</v>
      </c>
    </row>
    <row r="200" spans="52:56" x14ac:dyDescent="0.25">
      <c r="AZ200" s="25">
        <v>197</v>
      </c>
      <c r="BA200" s="25">
        <v>0.11150086545083167</v>
      </c>
      <c r="BB200" s="25">
        <v>0</v>
      </c>
      <c r="BC200" s="25">
        <v>39</v>
      </c>
      <c r="BD200" s="25">
        <v>38.414999999999999</v>
      </c>
    </row>
    <row r="201" spans="52:56" x14ac:dyDescent="0.25">
      <c r="AZ201" s="25">
        <v>198</v>
      </c>
      <c r="BA201" s="25">
        <v>0.10901612327706026</v>
      </c>
      <c r="BB201" s="25">
        <v>0</v>
      </c>
      <c r="BC201" s="25">
        <v>39</v>
      </c>
      <c r="BD201" s="25">
        <v>38.61</v>
      </c>
    </row>
    <row r="202" spans="52:56" x14ac:dyDescent="0.25">
      <c r="AZ202" s="25">
        <v>199</v>
      </c>
      <c r="BA202" s="25">
        <v>0.10360261217071784</v>
      </c>
      <c r="BB202" s="25">
        <v>0</v>
      </c>
      <c r="BC202" s="25">
        <v>39</v>
      </c>
      <c r="BD202" s="25">
        <v>38.805</v>
      </c>
    </row>
    <row r="203" spans="52:56" x14ac:dyDescent="0.25">
      <c r="AZ203" s="25">
        <v>200</v>
      </c>
      <c r="BA203" s="25">
        <v>0.10360261217071784</v>
      </c>
      <c r="BB203" s="25">
        <v>0</v>
      </c>
      <c r="BC203" s="25">
        <v>39</v>
      </c>
      <c r="BD203" s="25">
        <v>39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1'!$B$10:$B$10" display="Inputs"/>
    <hyperlink ref="D4" location="'LR_Output1'!$B$40:$B$40" display="Prior Class Prob."/>
    <hyperlink ref="F4" location="'LR_Output1'!$B$49:$B$49" display="Predictors"/>
    <hyperlink ref="H4" location="'LR_Output1'!$B$59:$B$59" display="Regress. Model"/>
    <hyperlink ref="J4" location="'LR_Output1'!$B$66:$B$66" display="Train. Score Summary"/>
    <hyperlink ref="B5" location="'LR_Output1'!$B$90:$B$90" display="Valid. Score Summary"/>
    <hyperlink ref="D5" location="'LR_TrainingLiftChart1'!$B$10:$B$10" display="Training Lift Chart"/>
    <hyperlink ref="F5" location="'LR_ValidationLiftChart1'!$B$10:$B$10" display="Validation Lift Chart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LastYear</vt:lpstr>
      <vt:lpstr>Data_Partition</vt:lpstr>
      <vt:lpstr>LR_Output2</vt:lpstr>
      <vt:lpstr>LR_TrainingLiftChart2</vt:lpstr>
      <vt:lpstr>LR_ValidationLiftChart2</vt:lpstr>
      <vt:lpstr>LR_Stored2</vt:lpstr>
      <vt:lpstr>LR_Output1</vt:lpstr>
      <vt:lpstr>LR_TrainingLiftChart1</vt:lpstr>
      <vt:lpstr>LR_ValidationLiftChart1</vt:lpstr>
      <vt:lpstr>LR_Stored1</vt:lpstr>
      <vt:lpstr>LR_Output</vt:lpstr>
      <vt:lpstr>LR_TrainingLiftChart</vt:lpstr>
      <vt:lpstr>LR_ValidationLiftChart</vt:lpstr>
      <vt:lpstr>LR_Stored</vt:lpstr>
    </vt:vector>
  </TitlesOfParts>
  <Company>Rochester Institute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Jeff Ohlmann</cp:lastModifiedBy>
  <dcterms:created xsi:type="dcterms:W3CDTF">2003-02-03T16:12:47Z</dcterms:created>
  <dcterms:modified xsi:type="dcterms:W3CDTF">2015-10-24T06:42:56Z</dcterms:modified>
</cp:coreProperties>
</file>